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updateLinks="never"/>
  <mc:AlternateContent xmlns:mc="http://schemas.openxmlformats.org/markup-compatibility/2006">
    <mc:Choice Requires="x15">
      <x15ac:absPath xmlns:x15ac="http://schemas.microsoft.com/office/spreadsheetml/2010/11/ac" url="J:\MSP Support\50% of Local Exp Per Student (LocalLevy)\FY23\"/>
    </mc:Choice>
  </mc:AlternateContent>
  <xr:revisionPtr revIDLastSave="0" documentId="13_ncr:1_{5E9AA638-2116-4A46-A29B-CF62837F923C}" xr6:coauthVersionLast="47" xr6:coauthVersionMax="47" xr10:uidLastSave="{00000000-0000-0000-0000-000000000000}"/>
  <bookViews>
    <workbookView xWindow="0" yWindow="0" windowWidth="14743" windowHeight="11743" xr2:uid="{00000000-000D-0000-FFFF-FFFF00000000}"/>
  </bookViews>
  <sheets>
    <sheet name="Worksheet" sheetId="1" r:id="rId1"/>
    <sheet name="Summary Sheet" sheetId="4" r:id="rId2"/>
    <sheet name="AFR-APR" sheetId="16" r:id="rId3"/>
    <sheet name="VALTAX22" sheetId="15" r:id="rId4"/>
  </sheets>
  <externalReferences>
    <externalReference r:id="rId5"/>
    <externalReference r:id="rId6"/>
    <externalReference r:id="rId7"/>
  </externalReferences>
  <definedNames>
    <definedName name="_Key1" localSheetId="3" hidden="1">VALTAX22!#REF!</definedName>
    <definedName name="_Order1" localSheetId="3" hidden="1">0</definedName>
    <definedName name="_Regression_Int" localSheetId="3" hidden="1">1</definedName>
    <definedName name="_Sort" localSheetId="3" hidden="1">VALTAX22!#REF!</definedName>
    <definedName name="Data">'AFR-APR'!$C$5:$W$45</definedName>
    <definedName name="Districtname">Worksheet!$E$7</definedName>
    <definedName name="maindata">'AFR-APR'!$D$5:$W$45</definedName>
    <definedName name="_xlnm.Print_Area" localSheetId="1">'Summary Sheet'!$A$1:$D$50</definedName>
    <definedName name="_xlnm.Print_Area" localSheetId="3">VALTAX22!$A$1:$L$57</definedName>
    <definedName name="_xlnm.Print_Area" localSheetId="0">Worksheet!$A$1:$F$44</definedName>
    <definedName name="Print_Area_MI" localSheetId="3">VALTAX22!$B$1:$H$57</definedName>
    <definedName name="Print_Area_MI">#REF!</definedName>
    <definedName name="_xlnm.Print_Titles" localSheetId="1">'Summary Sheet'!$A:$A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" l="1"/>
  <c r="E24" i="1"/>
  <c r="E23" i="1"/>
  <c r="E22" i="1"/>
  <c r="E21" i="1"/>
  <c r="E20" i="1"/>
  <c r="E16" i="1"/>
  <c r="E15" i="1"/>
  <c r="E14" i="1"/>
  <c r="E13" i="1"/>
  <c r="C24" i="1"/>
  <c r="C23" i="1"/>
  <c r="C22" i="1"/>
  <c r="C21" i="1"/>
  <c r="C16" i="1"/>
  <c r="C15" i="1"/>
  <c r="C14" i="1"/>
  <c r="C13" i="1"/>
  <c r="C12" i="1"/>
  <c r="E12" i="1"/>
  <c r="B10" i="4" l="1"/>
  <c r="B11" i="4"/>
  <c r="B13" i="4"/>
  <c r="B14" i="4"/>
  <c r="B16" i="4"/>
  <c r="B17" i="4"/>
  <c r="B19" i="4"/>
  <c r="B20" i="4"/>
  <c r="B21" i="4"/>
  <c r="B22" i="4"/>
  <c r="B24" i="4"/>
  <c r="B25" i="4"/>
  <c r="B26" i="4"/>
  <c r="B27" i="4"/>
  <c r="B30" i="4"/>
  <c r="B31" i="4"/>
  <c r="B32" i="4"/>
  <c r="B34" i="4"/>
  <c r="B36" i="4"/>
  <c r="B37" i="4"/>
  <c r="B40" i="4"/>
  <c r="B41" i="4"/>
  <c r="B42" i="4"/>
  <c r="B44" i="4"/>
  <c r="B47" i="4"/>
  <c r="B8" i="4"/>
  <c r="U6" i="16"/>
  <c r="U7" i="16"/>
  <c r="U8" i="16"/>
  <c r="U9" i="16"/>
  <c r="U10" i="16"/>
  <c r="U11" i="16"/>
  <c r="U12" i="16"/>
  <c r="U13" i="16"/>
  <c r="U14" i="16"/>
  <c r="U15" i="16"/>
  <c r="U16" i="16"/>
  <c r="U17" i="16"/>
  <c r="U18" i="16"/>
  <c r="U19" i="16"/>
  <c r="U20" i="16"/>
  <c r="U21" i="16"/>
  <c r="U22" i="16"/>
  <c r="U23" i="16"/>
  <c r="U24" i="16"/>
  <c r="U25" i="16"/>
  <c r="U26" i="16"/>
  <c r="U27" i="16"/>
  <c r="U28" i="16"/>
  <c r="U29" i="16"/>
  <c r="U30" i="16"/>
  <c r="U31" i="16"/>
  <c r="U32" i="16"/>
  <c r="U33" i="16"/>
  <c r="U34" i="16"/>
  <c r="U35" i="16"/>
  <c r="U36" i="16"/>
  <c r="U37" i="16"/>
  <c r="U38" i="16"/>
  <c r="U39" i="16"/>
  <c r="U40" i="16"/>
  <c r="U41" i="16"/>
  <c r="U42" i="16"/>
  <c r="U43" i="16"/>
  <c r="U44" i="16"/>
  <c r="U45" i="16"/>
  <c r="U5" i="16"/>
  <c r="M6" i="16" l="1"/>
  <c r="N6" i="16" s="1"/>
  <c r="S6" i="16" s="1"/>
  <c r="M7" i="16"/>
  <c r="M8" i="16"/>
  <c r="N8" i="16" s="1"/>
  <c r="S8" i="16" s="1"/>
  <c r="M9" i="16"/>
  <c r="N9" i="16" s="1"/>
  <c r="S9" i="16" s="1"/>
  <c r="M10" i="16"/>
  <c r="N10" i="16" s="1"/>
  <c r="S10" i="16" s="1"/>
  <c r="M11" i="16"/>
  <c r="N11" i="16" s="1"/>
  <c r="S11" i="16" s="1"/>
  <c r="M12" i="16"/>
  <c r="N12" i="16" s="1"/>
  <c r="S12" i="16" s="1"/>
  <c r="M13" i="16"/>
  <c r="N13" i="16" s="1"/>
  <c r="M14" i="16"/>
  <c r="N14" i="16" s="1"/>
  <c r="S14" i="16" s="1"/>
  <c r="M15" i="16"/>
  <c r="N15" i="16" s="1"/>
  <c r="S15" i="16" s="1"/>
  <c r="M16" i="16"/>
  <c r="N16" i="16" s="1"/>
  <c r="S16" i="16" s="1"/>
  <c r="M17" i="16"/>
  <c r="N17" i="16" s="1"/>
  <c r="S17" i="16" s="1"/>
  <c r="M18" i="16"/>
  <c r="N18" i="16" s="1"/>
  <c r="S18" i="16" s="1"/>
  <c r="M19" i="16"/>
  <c r="N19" i="16" s="1"/>
  <c r="S19" i="16" s="1"/>
  <c r="M20" i="16"/>
  <c r="N20" i="16" s="1"/>
  <c r="S20" i="16" s="1"/>
  <c r="M21" i="16"/>
  <c r="N21" i="16" s="1"/>
  <c r="S21" i="16" s="1"/>
  <c r="M22" i="16"/>
  <c r="N22" i="16" s="1"/>
  <c r="S22" i="16" s="1"/>
  <c r="M23" i="16"/>
  <c r="N23" i="16" s="1"/>
  <c r="S23" i="16" s="1"/>
  <c r="M24" i="16"/>
  <c r="N24" i="16" s="1"/>
  <c r="S24" i="16" s="1"/>
  <c r="M25" i="16"/>
  <c r="N25" i="16" s="1"/>
  <c r="S25" i="16" s="1"/>
  <c r="M26" i="16"/>
  <c r="N26" i="16" s="1"/>
  <c r="S26" i="16" s="1"/>
  <c r="M27" i="16"/>
  <c r="N27" i="16" s="1"/>
  <c r="S27" i="16" s="1"/>
  <c r="M28" i="16"/>
  <c r="N28" i="16" s="1"/>
  <c r="S28" i="16" s="1"/>
  <c r="M29" i="16"/>
  <c r="N29" i="16" s="1"/>
  <c r="S29" i="16" s="1"/>
  <c r="M30" i="16"/>
  <c r="N30" i="16" s="1"/>
  <c r="S30" i="16" s="1"/>
  <c r="M31" i="16"/>
  <c r="N31" i="16" s="1"/>
  <c r="S31" i="16" s="1"/>
  <c r="M32" i="16"/>
  <c r="N32" i="16" s="1"/>
  <c r="S32" i="16" s="1"/>
  <c r="M33" i="16"/>
  <c r="N33" i="16" s="1"/>
  <c r="S33" i="16" s="1"/>
  <c r="M34" i="16"/>
  <c r="N34" i="16" s="1"/>
  <c r="S34" i="16" s="1"/>
  <c r="M35" i="16"/>
  <c r="N35" i="16" s="1"/>
  <c r="S35" i="16" s="1"/>
  <c r="M36" i="16"/>
  <c r="N36" i="16" s="1"/>
  <c r="S36" i="16" s="1"/>
  <c r="M37" i="16"/>
  <c r="N37" i="16" s="1"/>
  <c r="S37" i="16" s="1"/>
  <c r="M38" i="16"/>
  <c r="N38" i="16" s="1"/>
  <c r="S38" i="16" s="1"/>
  <c r="M39" i="16"/>
  <c r="N39" i="16" s="1"/>
  <c r="S39" i="16" s="1"/>
  <c r="M40" i="16"/>
  <c r="N40" i="16" s="1"/>
  <c r="S40" i="16" s="1"/>
  <c r="M41" i="16"/>
  <c r="N41" i="16" s="1"/>
  <c r="S41" i="16" s="1"/>
  <c r="M42" i="16"/>
  <c r="N42" i="16" s="1"/>
  <c r="S42" i="16" s="1"/>
  <c r="M43" i="16"/>
  <c r="N43" i="16" s="1"/>
  <c r="S43" i="16" s="1"/>
  <c r="M44" i="16"/>
  <c r="N44" i="16" s="1"/>
  <c r="S44" i="16" s="1"/>
  <c r="M45" i="16"/>
  <c r="N45" i="16" s="1"/>
  <c r="S45" i="16" s="1"/>
  <c r="M5" i="16"/>
  <c r="N5" i="16" s="1"/>
  <c r="S5" i="16" s="1"/>
  <c r="R11" i="15"/>
  <c r="S11" i="15" s="1"/>
  <c r="R12" i="15"/>
  <c r="S12" i="15" s="1"/>
  <c r="R13" i="15"/>
  <c r="S13" i="15"/>
  <c r="R14" i="15"/>
  <c r="S14" i="15"/>
  <c r="R15" i="15"/>
  <c r="S15" i="15" s="1"/>
  <c r="R16" i="15"/>
  <c r="S16" i="15" s="1"/>
  <c r="R17" i="15"/>
  <c r="S17" i="15"/>
  <c r="R18" i="15"/>
  <c r="S18" i="15"/>
  <c r="R19" i="15"/>
  <c r="S19" i="15" s="1"/>
  <c r="R20" i="15"/>
  <c r="S20" i="15" s="1"/>
  <c r="R21" i="15"/>
  <c r="S21" i="15"/>
  <c r="R22" i="15"/>
  <c r="S22" i="15"/>
  <c r="R23" i="15"/>
  <c r="S23" i="15" s="1"/>
  <c r="R24" i="15"/>
  <c r="S24" i="15" s="1"/>
  <c r="R25" i="15"/>
  <c r="S25" i="15"/>
  <c r="R26" i="15"/>
  <c r="S26" i="15"/>
  <c r="R27" i="15"/>
  <c r="S27" i="15" s="1"/>
  <c r="R28" i="15"/>
  <c r="S28" i="15" s="1"/>
  <c r="R29" i="15"/>
  <c r="S29" i="15"/>
  <c r="R30" i="15"/>
  <c r="S30" i="15"/>
  <c r="R31" i="15"/>
  <c r="S31" i="15" s="1"/>
  <c r="R32" i="15"/>
  <c r="S32" i="15" s="1"/>
  <c r="R33" i="15"/>
  <c r="S33" i="15"/>
  <c r="R34" i="15"/>
  <c r="S34" i="15"/>
  <c r="R35" i="15"/>
  <c r="S35" i="15" s="1"/>
  <c r="R36" i="15"/>
  <c r="S36" i="15" s="1"/>
  <c r="R37" i="15"/>
  <c r="S37" i="15"/>
  <c r="R38" i="15"/>
  <c r="S38" i="15"/>
  <c r="R39" i="15"/>
  <c r="S39" i="15" s="1"/>
  <c r="R40" i="15"/>
  <c r="S40" i="15" s="1"/>
  <c r="R41" i="15"/>
  <c r="S41" i="15"/>
  <c r="R42" i="15"/>
  <c r="S42" i="15"/>
  <c r="R43" i="15"/>
  <c r="S43" i="15" s="1"/>
  <c r="R44" i="15"/>
  <c r="S44" i="15" s="1"/>
  <c r="R45" i="15"/>
  <c r="S45" i="15"/>
  <c r="R46" i="15"/>
  <c r="S46" i="15"/>
  <c r="R47" i="15"/>
  <c r="S47" i="15" s="1"/>
  <c r="R48" i="15"/>
  <c r="S48" i="15" s="1"/>
  <c r="R49" i="15"/>
  <c r="S49" i="15"/>
  <c r="R50" i="15"/>
  <c r="S50" i="15"/>
  <c r="S10" i="15"/>
  <c r="R10" i="15"/>
  <c r="P1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P41" i="15"/>
  <c r="P42" i="15"/>
  <c r="P43" i="15"/>
  <c r="P44" i="15"/>
  <c r="P45" i="15"/>
  <c r="P46" i="15"/>
  <c r="P47" i="15"/>
  <c r="P48" i="15"/>
  <c r="P49" i="15"/>
  <c r="P50" i="15"/>
  <c r="P10" i="15"/>
  <c r="U46" i="16"/>
  <c r="R46" i="16"/>
  <c r="P46" i="16"/>
  <c r="O46" i="16"/>
  <c r="L46" i="16"/>
  <c r="J46" i="16"/>
  <c r="I46" i="16"/>
  <c r="H46" i="16"/>
  <c r="G46" i="16"/>
  <c r="F46" i="16"/>
  <c r="E46" i="16"/>
  <c r="D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50" i="15"/>
  <c r="J50" i="15"/>
  <c r="I50" i="15"/>
  <c r="H50" i="15"/>
  <c r="G50" i="15"/>
  <c r="F50" i="15"/>
  <c r="E50" i="15"/>
  <c r="D50" i="15"/>
  <c r="L50" i="15" s="1"/>
  <c r="N50" i="15" s="1"/>
  <c r="C50" i="15"/>
  <c r="K49" i="15"/>
  <c r="J49" i="15"/>
  <c r="I49" i="15"/>
  <c r="H49" i="15"/>
  <c r="G49" i="15"/>
  <c r="F49" i="15"/>
  <c r="E49" i="15"/>
  <c r="D49" i="15"/>
  <c r="L49" i="15" s="1"/>
  <c r="N49" i="15" s="1"/>
  <c r="C49" i="15"/>
  <c r="K48" i="15"/>
  <c r="J48" i="15"/>
  <c r="I48" i="15"/>
  <c r="H48" i="15"/>
  <c r="G48" i="15"/>
  <c r="F48" i="15"/>
  <c r="E48" i="15"/>
  <c r="D48" i="15"/>
  <c r="L48" i="15" s="1"/>
  <c r="N48" i="15" s="1"/>
  <c r="C48" i="15"/>
  <c r="K47" i="15"/>
  <c r="J47" i="15"/>
  <c r="I47" i="15"/>
  <c r="H47" i="15"/>
  <c r="G47" i="15"/>
  <c r="F47" i="15"/>
  <c r="E47" i="15"/>
  <c r="D47" i="15"/>
  <c r="L47" i="15" s="1"/>
  <c r="N47" i="15" s="1"/>
  <c r="C47" i="15"/>
  <c r="K46" i="15"/>
  <c r="J46" i="15"/>
  <c r="I46" i="15"/>
  <c r="H46" i="15"/>
  <c r="G46" i="15"/>
  <c r="F46" i="15"/>
  <c r="E46" i="15"/>
  <c r="D46" i="15"/>
  <c r="L46" i="15" s="1"/>
  <c r="N46" i="15" s="1"/>
  <c r="C46" i="15"/>
  <c r="K45" i="15"/>
  <c r="J45" i="15"/>
  <c r="I45" i="15"/>
  <c r="H45" i="15"/>
  <c r="G45" i="15"/>
  <c r="F45" i="15"/>
  <c r="E45" i="15"/>
  <c r="D45" i="15"/>
  <c r="L45" i="15" s="1"/>
  <c r="N45" i="15" s="1"/>
  <c r="C45" i="15"/>
  <c r="K44" i="15"/>
  <c r="J44" i="15"/>
  <c r="I44" i="15"/>
  <c r="H44" i="15"/>
  <c r="G44" i="15"/>
  <c r="F44" i="15"/>
  <c r="E44" i="15"/>
  <c r="D44" i="15"/>
  <c r="L44" i="15" s="1"/>
  <c r="N44" i="15" s="1"/>
  <c r="C44" i="15"/>
  <c r="K43" i="15"/>
  <c r="J43" i="15"/>
  <c r="I43" i="15"/>
  <c r="H43" i="15"/>
  <c r="G43" i="15"/>
  <c r="F43" i="15"/>
  <c r="E43" i="15"/>
  <c r="D43" i="15"/>
  <c r="L43" i="15" s="1"/>
  <c r="N43" i="15" s="1"/>
  <c r="C43" i="15"/>
  <c r="K42" i="15"/>
  <c r="J42" i="15"/>
  <c r="I42" i="15"/>
  <c r="H42" i="15"/>
  <c r="G42" i="15"/>
  <c r="F42" i="15"/>
  <c r="E42" i="15"/>
  <c r="D42" i="15"/>
  <c r="L42" i="15" s="1"/>
  <c r="N42" i="15" s="1"/>
  <c r="C42" i="15"/>
  <c r="K41" i="15"/>
  <c r="J41" i="15"/>
  <c r="I41" i="15"/>
  <c r="H41" i="15"/>
  <c r="G41" i="15"/>
  <c r="F41" i="15"/>
  <c r="E41" i="15"/>
  <c r="D41" i="15"/>
  <c r="L41" i="15" s="1"/>
  <c r="N41" i="15" s="1"/>
  <c r="C41" i="15"/>
  <c r="K40" i="15"/>
  <c r="J40" i="15"/>
  <c r="I40" i="15"/>
  <c r="H40" i="15"/>
  <c r="G40" i="15"/>
  <c r="F40" i="15"/>
  <c r="E40" i="15"/>
  <c r="D40" i="15"/>
  <c r="L40" i="15" s="1"/>
  <c r="N40" i="15" s="1"/>
  <c r="C40" i="15"/>
  <c r="K39" i="15"/>
  <c r="J39" i="15"/>
  <c r="I39" i="15"/>
  <c r="H39" i="15"/>
  <c r="G39" i="15"/>
  <c r="F39" i="15"/>
  <c r="E39" i="15"/>
  <c r="D39" i="15"/>
  <c r="L39" i="15" s="1"/>
  <c r="N39" i="15" s="1"/>
  <c r="C39" i="15"/>
  <c r="K38" i="15"/>
  <c r="J38" i="15"/>
  <c r="I38" i="15"/>
  <c r="H38" i="15"/>
  <c r="G38" i="15"/>
  <c r="F38" i="15"/>
  <c r="E38" i="15"/>
  <c r="D38" i="15"/>
  <c r="L38" i="15" s="1"/>
  <c r="N38" i="15" s="1"/>
  <c r="C38" i="15"/>
  <c r="K37" i="15"/>
  <c r="J37" i="15"/>
  <c r="I37" i="15"/>
  <c r="H37" i="15"/>
  <c r="G37" i="15"/>
  <c r="F37" i="15"/>
  <c r="E37" i="15"/>
  <c r="D37" i="15"/>
  <c r="L37" i="15" s="1"/>
  <c r="N37" i="15" s="1"/>
  <c r="C37" i="15"/>
  <c r="K36" i="15"/>
  <c r="J36" i="15"/>
  <c r="I36" i="15"/>
  <c r="H36" i="15"/>
  <c r="G36" i="15"/>
  <c r="F36" i="15"/>
  <c r="E36" i="15"/>
  <c r="D36" i="15"/>
  <c r="L36" i="15" s="1"/>
  <c r="N36" i="15" s="1"/>
  <c r="C36" i="15"/>
  <c r="K35" i="15"/>
  <c r="J35" i="15"/>
  <c r="I35" i="15"/>
  <c r="H35" i="15"/>
  <c r="G35" i="15"/>
  <c r="F35" i="15"/>
  <c r="E35" i="15"/>
  <c r="D35" i="15"/>
  <c r="L35" i="15" s="1"/>
  <c r="N35" i="15" s="1"/>
  <c r="C35" i="15"/>
  <c r="K34" i="15"/>
  <c r="J34" i="15"/>
  <c r="I34" i="15"/>
  <c r="H34" i="15"/>
  <c r="G34" i="15"/>
  <c r="F34" i="15"/>
  <c r="E34" i="15"/>
  <c r="D34" i="15"/>
  <c r="L34" i="15" s="1"/>
  <c r="N34" i="15" s="1"/>
  <c r="C34" i="15"/>
  <c r="K33" i="15"/>
  <c r="J33" i="15"/>
  <c r="I33" i="15"/>
  <c r="H33" i="15"/>
  <c r="G33" i="15"/>
  <c r="F33" i="15"/>
  <c r="E33" i="15"/>
  <c r="D33" i="15"/>
  <c r="L33" i="15" s="1"/>
  <c r="N33" i="15" s="1"/>
  <c r="C33" i="15"/>
  <c r="L32" i="15"/>
  <c r="N32" i="15" s="1"/>
  <c r="K32" i="15"/>
  <c r="J32" i="15"/>
  <c r="I32" i="15"/>
  <c r="H32" i="15"/>
  <c r="G32" i="15"/>
  <c r="F32" i="15"/>
  <c r="E32" i="15"/>
  <c r="D32" i="15"/>
  <c r="C32" i="15"/>
  <c r="K31" i="15"/>
  <c r="J31" i="15"/>
  <c r="I31" i="15"/>
  <c r="H31" i="15"/>
  <c r="G31" i="15"/>
  <c r="F31" i="15"/>
  <c r="E31" i="15"/>
  <c r="D31" i="15"/>
  <c r="L31" i="15" s="1"/>
  <c r="N31" i="15" s="1"/>
  <c r="C31" i="15"/>
  <c r="K30" i="15"/>
  <c r="J30" i="15"/>
  <c r="I30" i="15"/>
  <c r="H30" i="15"/>
  <c r="G30" i="15"/>
  <c r="F30" i="15"/>
  <c r="E30" i="15"/>
  <c r="D30" i="15"/>
  <c r="L30" i="15" s="1"/>
  <c r="N30" i="15" s="1"/>
  <c r="C30" i="15"/>
  <c r="K29" i="15"/>
  <c r="J29" i="15"/>
  <c r="I29" i="15"/>
  <c r="H29" i="15"/>
  <c r="G29" i="15"/>
  <c r="F29" i="15"/>
  <c r="E29" i="15"/>
  <c r="D29" i="15"/>
  <c r="L29" i="15" s="1"/>
  <c r="N29" i="15" s="1"/>
  <c r="C29" i="15"/>
  <c r="K28" i="15"/>
  <c r="J28" i="15"/>
  <c r="I28" i="15"/>
  <c r="H28" i="15"/>
  <c r="G28" i="15"/>
  <c r="F28" i="15"/>
  <c r="E28" i="15"/>
  <c r="D28" i="15"/>
  <c r="L28" i="15" s="1"/>
  <c r="N28" i="15" s="1"/>
  <c r="C28" i="15"/>
  <c r="K27" i="15"/>
  <c r="J27" i="15"/>
  <c r="I27" i="15"/>
  <c r="H27" i="15"/>
  <c r="G27" i="15"/>
  <c r="F27" i="15"/>
  <c r="E27" i="15"/>
  <c r="D27" i="15"/>
  <c r="L27" i="15" s="1"/>
  <c r="N27" i="15" s="1"/>
  <c r="C27" i="15"/>
  <c r="K26" i="15"/>
  <c r="J26" i="15"/>
  <c r="I26" i="15"/>
  <c r="H26" i="15"/>
  <c r="G26" i="15"/>
  <c r="F26" i="15"/>
  <c r="E26" i="15"/>
  <c r="D26" i="15"/>
  <c r="L26" i="15" s="1"/>
  <c r="N26" i="15" s="1"/>
  <c r="C26" i="15"/>
  <c r="K25" i="15"/>
  <c r="J25" i="15"/>
  <c r="I25" i="15"/>
  <c r="H25" i="15"/>
  <c r="G25" i="15"/>
  <c r="F25" i="15"/>
  <c r="E25" i="15"/>
  <c r="D25" i="15"/>
  <c r="L25" i="15" s="1"/>
  <c r="N25" i="15" s="1"/>
  <c r="C25" i="15"/>
  <c r="L24" i="15"/>
  <c r="N24" i="15" s="1"/>
  <c r="K24" i="15"/>
  <c r="J24" i="15"/>
  <c r="I24" i="15"/>
  <c r="H24" i="15"/>
  <c r="G24" i="15"/>
  <c r="F24" i="15"/>
  <c r="E24" i="15"/>
  <c r="D24" i="15"/>
  <c r="C24" i="15"/>
  <c r="K23" i="15"/>
  <c r="J23" i="15"/>
  <c r="I23" i="15"/>
  <c r="H23" i="15"/>
  <c r="G23" i="15"/>
  <c r="F23" i="15"/>
  <c r="E23" i="15"/>
  <c r="D23" i="15"/>
  <c r="L23" i="15" s="1"/>
  <c r="N23" i="15" s="1"/>
  <c r="C23" i="15"/>
  <c r="K22" i="15"/>
  <c r="J22" i="15"/>
  <c r="I22" i="15"/>
  <c r="H22" i="15"/>
  <c r="G22" i="15"/>
  <c r="F22" i="15"/>
  <c r="E22" i="15"/>
  <c r="D22" i="15"/>
  <c r="L22" i="15" s="1"/>
  <c r="N22" i="15" s="1"/>
  <c r="C22" i="15"/>
  <c r="K21" i="15"/>
  <c r="J21" i="15"/>
  <c r="I21" i="15"/>
  <c r="H21" i="15"/>
  <c r="G21" i="15"/>
  <c r="F21" i="15"/>
  <c r="E21" i="15"/>
  <c r="D21" i="15"/>
  <c r="L21" i="15" s="1"/>
  <c r="N21" i="15" s="1"/>
  <c r="C21" i="15"/>
  <c r="L20" i="15"/>
  <c r="N20" i="15" s="1"/>
  <c r="K20" i="15"/>
  <c r="J20" i="15"/>
  <c r="I20" i="15"/>
  <c r="H20" i="15"/>
  <c r="G20" i="15"/>
  <c r="F20" i="15"/>
  <c r="E20" i="15"/>
  <c r="D20" i="15"/>
  <c r="C20" i="15"/>
  <c r="K19" i="15"/>
  <c r="J19" i="15"/>
  <c r="I19" i="15"/>
  <c r="H19" i="15"/>
  <c r="G19" i="15"/>
  <c r="F19" i="15"/>
  <c r="E19" i="15"/>
  <c r="D19" i="15"/>
  <c r="L19" i="15" s="1"/>
  <c r="N19" i="15" s="1"/>
  <c r="C19" i="15"/>
  <c r="K18" i="15"/>
  <c r="J18" i="15"/>
  <c r="I18" i="15"/>
  <c r="H18" i="15"/>
  <c r="G18" i="15"/>
  <c r="F18" i="15"/>
  <c r="E18" i="15"/>
  <c r="D18" i="15"/>
  <c r="L18" i="15" s="1"/>
  <c r="N18" i="15" s="1"/>
  <c r="C18" i="15"/>
  <c r="K17" i="15"/>
  <c r="J17" i="15"/>
  <c r="I17" i="15"/>
  <c r="H17" i="15"/>
  <c r="G17" i="15"/>
  <c r="F17" i="15"/>
  <c r="E17" i="15"/>
  <c r="D17" i="15"/>
  <c r="L17" i="15" s="1"/>
  <c r="N17" i="15" s="1"/>
  <c r="C17" i="15"/>
  <c r="L16" i="15"/>
  <c r="N16" i="15" s="1"/>
  <c r="K16" i="15"/>
  <c r="J16" i="15"/>
  <c r="I16" i="15"/>
  <c r="H16" i="15"/>
  <c r="G16" i="15"/>
  <c r="F16" i="15"/>
  <c r="E16" i="15"/>
  <c r="D16" i="15"/>
  <c r="C16" i="15"/>
  <c r="K15" i="15"/>
  <c r="J15" i="15"/>
  <c r="I15" i="15"/>
  <c r="H15" i="15"/>
  <c r="G15" i="15"/>
  <c r="F15" i="15"/>
  <c r="E15" i="15"/>
  <c r="D15" i="15"/>
  <c r="L15" i="15" s="1"/>
  <c r="N15" i="15" s="1"/>
  <c r="C15" i="15"/>
  <c r="K14" i="15"/>
  <c r="J14" i="15"/>
  <c r="I14" i="15"/>
  <c r="H14" i="15"/>
  <c r="G14" i="15"/>
  <c r="F14" i="15"/>
  <c r="E14" i="15"/>
  <c r="D14" i="15"/>
  <c r="L14" i="15" s="1"/>
  <c r="N14" i="15" s="1"/>
  <c r="C14" i="15"/>
  <c r="K13" i="15"/>
  <c r="J13" i="15"/>
  <c r="I13" i="15"/>
  <c r="H13" i="15"/>
  <c r="G13" i="15"/>
  <c r="F13" i="15"/>
  <c r="E13" i="15"/>
  <c r="D13" i="15"/>
  <c r="L13" i="15" s="1"/>
  <c r="N13" i="15" s="1"/>
  <c r="C13" i="15"/>
  <c r="L12" i="15"/>
  <c r="N12" i="15" s="1"/>
  <c r="K12" i="15"/>
  <c r="J12" i="15"/>
  <c r="I12" i="15"/>
  <c r="H12" i="15"/>
  <c r="G12" i="15"/>
  <c r="F12" i="15"/>
  <c r="E12" i="15"/>
  <c r="D12" i="15"/>
  <c r="C12" i="15"/>
  <c r="K11" i="15"/>
  <c r="J11" i="15"/>
  <c r="I11" i="15"/>
  <c r="H11" i="15"/>
  <c r="G11" i="15"/>
  <c r="F11" i="15"/>
  <c r="E11" i="15"/>
  <c r="D11" i="15"/>
  <c r="L11" i="15" s="1"/>
  <c r="N11" i="15" s="1"/>
  <c r="C11" i="15"/>
  <c r="C51" i="15" s="1"/>
  <c r="K10" i="15"/>
  <c r="J10" i="15"/>
  <c r="J52" i="15" s="1"/>
  <c r="I10" i="15"/>
  <c r="I52" i="15" s="1"/>
  <c r="H10" i="15"/>
  <c r="H52" i="15" s="1"/>
  <c r="G10" i="15"/>
  <c r="G52" i="15" s="1"/>
  <c r="F10" i="15"/>
  <c r="F52" i="15" s="1"/>
  <c r="E10" i="15"/>
  <c r="E52" i="15" s="1"/>
  <c r="D10" i="15"/>
  <c r="D52" i="15" s="1"/>
  <c r="C10" i="15"/>
  <c r="T42" i="16" l="1"/>
  <c r="V42" i="16" s="1"/>
  <c r="W42" i="16" s="1"/>
  <c r="B45" i="4" s="1"/>
  <c r="T34" i="16"/>
  <c r="V34" i="16" s="1"/>
  <c r="W34" i="16" s="1"/>
  <c r="T14" i="16"/>
  <c r="V14" i="16" s="1"/>
  <c r="W14" i="16" s="1"/>
  <c r="T26" i="16"/>
  <c r="V26" i="16" s="1"/>
  <c r="W26" i="16" s="1"/>
  <c r="B29" i="4" s="1"/>
  <c r="T18" i="16"/>
  <c r="V18" i="16" s="1"/>
  <c r="W18" i="16" s="1"/>
  <c r="T22" i="16"/>
  <c r="V22" i="16" s="1"/>
  <c r="W22" i="16" s="1"/>
  <c r="T30" i="16"/>
  <c r="V30" i="16" s="1"/>
  <c r="W30" i="16" s="1"/>
  <c r="B33" i="4" s="1"/>
  <c r="T38" i="16"/>
  <c r="V38" i="16" s="1"/>
  <c r="W38" i="16" s="1"/>
  <c r="T6" i="16"/>
  <c r="V6" i="16" s="1"/>
  <c r="W6" i="16" s="1"/>
  <c r="B9" i="4" s="1"/>
  <c r="T10" i="16"/>
  <c r="V10" i="16" s="1"/>
  <c r="W10" i="16" s="1"/>
  <c r="M46" i="16"/>
  <c r="S13" i="16"/>
  <c r="T12" i="16"/>
  <c r="V12" i="16" s="1"/>
  <c r="W12" i="16" s="1"/>
  <c r="B15" i="4" s="1"/>
  <c r="T20" i="16"/>
  <c r="V20" i="16" s="1"/>
  <c r="W20" i="16" s="1"/>
  <c r="B23" i="4" s="1"/>
  <c r="T28" i="16"/>
  <c r="V28" i="16" s="1"/>
  <c r="W28" i="16" s="1"/>
  <c r="T36" i="16"/>
  <c r="V36" i="16" s="1"/>
  <c r="W36" i="16" s="1"/>
  <c r="B39" i="4" s="1"/>
  <c r="T44" i="16"/>
  <c r="V44" i="16" s="1"/>
  <c r="W44" i="16" s="1"/>
  <c r="K46" i="16"/>
  <c r="T5" i="16"/>
  <c r="T13" i="16"/>
  <c r="V13" i="16" s="1"/>
  <c r="W13" i="16" s="1"/>
  <c r="T21" i="16"/>
  <c r="V21" i="16" s="1"/>
  <c r="W21" i="16" s="1"/>
  <c r="T29" i="16"/>
  <c r="V29" i="16" s="1"/>
  <c r="W29" i="16" s="1"/>
  <c r="T37" i="16"/>
  <c r="V37" i="16" s="1"/>
  <c r="W37" i="16" s="1"/>
  <c r="T45" i="16"/>
  <c r="V45" i="16" s="1"/>
  <c r="W45" i="16" s="1"/>
  <c r="B48" i="4" s="1"/>
  <c r="N7" i="16"/>
  <c r="S7" i="16" s="1"/>
  <c r="S46" i="16" s="1"/>
  <c r="T15" i="16"/>
  <c r="V15" i="16" s="1"/>
  <c r="W15" i="16" s="1"/>
  <c r="B18" i="4" s="1"/>
  <c r="T23" i="16"/>
  <c r="V23" i="16" s="1"/>
  <c r="W23" i="16" s="1"/>
  <c r="T31" i="16"/>
  <c r="V31" i="16" s="1"/>
  <c r="W31" i="16" s="1"/>
  <c r="T39" i="16"/>
  <c r="V39" i="16" s="1"/>
  <c r="W39" i="16" s="1"/>
  <c r="T8" i="16"/>
  <c r="V8" i="16" s="1"/>
  <c r="W8" i="16" s="1"/>
  <c r="T16" i="16"/>
  <c r="V16" i="16" s="1"/>
  <c r="W16" i="16" s="1"/>
  <c r="T24" i="16"/>
  <c r="V24" i="16" s="1"/>
  <c r="W24" i="16" s="1"/>
  <c r="T32" i="16"/>
  <c r="V32" i="16" s="1"/>
  <c r="W32" i="16" s="1"/>
  <c r="B35" i="4" s="1"/>
  <c r="T40" i="16"/>
  <c r="V40" i="16" s="1"/>
  <c r="W40" i="16" s="1"/>
  <c r="B43" i="4" s="1"/>
  <c r="T9" i="16"/>
  <c r="V9" i="16" s="1"/>
  <c r="W9" i="16" s="1"/>
  <c r="B12" i="4" s="1"/>
  <c r="T17" i="16"/>
  <c r="V17" i="16" s="1"/>
  <c r="W17" i="16" s="1"/>
  <c r="T25" i="16"/>
  <c r="V25" i="16" s="1"/>
  <c r="W25" i="16" s="1"/>
  <c r="B28" i="4" s="1"/>
  <c r="T33" i="16"/>
  <c r="V33" i="16" s="1"/>
  <c r="W33" i="16" s="1"/>
  <c r="T41" i="16"/>
  <c r="V41" i="16" s="1"/>
  <c r="W41" i="16" s="1"/>
  <c r="T11" i="16"/>
  <c r="V11" i="16" s="1"/>
  <c r="W11" i="16" s="1"/>
  <c r="T19" i="16"/>
  <c r="V19" i="16" s="1"/>
  <c r="W19" i="16" s="1"/>
  <c r="T27" i="16"/>
  <c r="V27" i="16" s="1"/>
  <c r="W27" i="16" s="1"/>
  <c r="T35" i="16"/>
  <c r="V35" i="16" s="1"/>
  <c r="W35" i="16" s="1"/>
  <c r="B38" i="4" s="1"/>
  <c r="T43" i="16"/>
  <c r="V43" i="16" s="1"/>
  <c r="W43" i="16" s="1"/>
  <c r="B46" i="4" s="1"/>
  <c r="L10" i="15"/>
  <c r="T7" i="16" l="1"/>
  <c r="V7" i="16" s="1"/>
  <c r="W7" i="16" s="1"/>
  <c r="N46" i="16"/>
  <c r="V5" i="16"/>
  <c r="L52" i="15"/>
  <c r="N10" i="15"/>
  <c r="N52" i="15" s="1"/>
  <c r="T46" i="16" l="1"/>
  <c r="W5" i="16"/>
  <c r="V46" i="16"/>
  <c r="W46" i="16" l="1"/>
  <c r="E37" i="1"/>
  <c r="E17" i="1" l="1"/>
  <c r="E25" i="1" l="1"/>
  <c r="E27" i="1" s="1"/>
  <c r="E31" i="1" s="1"/>
  <c r="E33" i="1" s="1"/>
  <c r="D29" i="4"/>
  <c r="D22" i="4"/>
  <c r="D37" i="4"/>
  <c r="D23" i="4"/>
  <c r="D36" i="4"/>
  <c r="D12" i="4"/>
  <c r="D35" i="4"/>
  <c r="D26" i="4"/>
  <c r="D38" i="4"/>
  <c r="D24" i="4"/>
  <c r="D10" i="4"/>
  <c r="D25" i="4"/>
  <c r="D13" i="4"/>
  <c r="D30" i="4"/>
  <c r="D15" i="4"/>
  <c r="D18" i="4"/>
  <c r="D33" i="4"/>
  <c r="D16" i="4"/>
  <c r="D17" i="4"/>
  <c r="D47" i="4"/>
  <c r="D45" i="4"/>
  <c r="D21" i="4"/>
  <c r="D11" i="4"/>
  <c r="D46" i="4"/>
  <c r="D14" i="4"/>
  <c r="D34" i="4"/>
  <c r="D48" i="4"/>
  <c r="D31" i="4" l="1"/>
  <c r="D19" i="4"/>
  <c r="D27" i="4"/>
  <c r="D43" i="4"/>
  <c r="D32" i="4"/>
  <c r="D20" i="4"/>
  <c r="D40" i="4" l="1"/>
  <c r="D39" i="4"/>
  <c r="D28" i="4"/>
  <c r="D41" i="4"/>
  <c r="D42" i="4"/>
  <c r="D44" i="4"/>
  <c r="D8" i="4" l="1"/>
  <c r="D9" i="4" l="1"/>
  <c r="D49" i="4" s="1"/>
  <c r="B5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cdudley</author>
  </authors>
  <commentList>
    <comment ref="C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This page number is from the Annual Report and AFR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I9" authorId="0" shapeId="0" xr:uid="{EFB6860D-9876-4BA4-8479-9561226704C0}">
      <text>
        <r>
          <rPr>
            <sz val="8"/>
            <color indexed="81"/>
            <rFont val="Tahoma"/>
            <family val="2"/>
          </rPr>
          <t>Ok to go above the statutory ceiling because the levy is still under the certified tax rate.  See 59-2-914(3)(a)  It is important that in the case of a voted or board leeway that the levy does not go above that voted by the public or by the local school board.</t>
        </r>
      </text>
    </comment>
  </commentList>
</comments>
</file>

<file path=xl/sharedStrings.xml><?xml version="1.0" encoding="utf-8"?>
<sst xmlns="http://schemas.openxmlformats.org/spreadsheetml/2006/main" count="332" uniqueCount="237">
  <si>
    <t>Fund Transfer Worksheet</t>
  </si>
  <si>
    <t>Items</t>
  </si>
  <si>
    <t>Page # of Report</t>
  </si>
  <si>
    <t>A. Maintenance and Operation Fund (AR)</t>
  </si>
  <si>
    <t>C.     Less-Site Acquisition (AFR)</t>
  </si>
  <si>
    <t>D.     Less-New Sq. Ft. Construction (AFR)</t>
  </si>
  <si>
    <t>E.     Less-Remodeling (AFR)</t>
  </si>
  <si>
    <t>F.</t>
  </si>
  <si>
    <t>Less Revenues:</t>
  </si>
  <si>
    <t>Total Expenditures Before Interfund Transfers:</t>
  </si>
  <si>
    <t>H. State Revenue [M&amp;O] (AR)</t>
  </si>
  <si>
    <t>I.  Federal Revenue [M&amp;O] (AR)</t>
  </si>
  <si>
    <t>J. State Revenue [CO] (AR)</t>
  </si>
  <si>
    <t>K. Federal Revenue [CO] (AR)</t>
  </si>
  <si>
    <t>L.</t>
  </si>
  <si>
    <t>Total (A through E)</t>
  </si>
  <si>
    <t>Total (G through K)</t>
  </si>
  <si>
    <t>M.</t>
  </si>
  <si>
    <t>N.</t>
  </si>
  <si>
    <t>O.</t>
  </si>
  <si>
    <t>P.</t>
  </si>
  <si>
    <t>Local Expenditure per Student (Divide M by N)</t>
  </si>
  <si>
    <t xml:space="preserve">R.  </t>
  </si>
  <si>
    <t xml:space="preserve">Q.  </t>
  </si>
  <si>
    <t>Difference (F minus L)</t>
  </si>
  <si>
    <t>Use this worksheet to calculate the per pupil share of local school district funds to</t>
  </si>
  <si>
    <t>Name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</si>
  <si>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</si>
  <si>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</si>
  <si>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</si>
  <si>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</si>
  <si>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</si>
  <si>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</si>
  <si>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</si>
  <si>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</si>
  <si>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</si>
  <si>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</si>
  <si>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</si>
  <si>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</si>
  <si>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</si>
  <si>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</si>
  <si>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</si>
  <si>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</si>
  <si>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Alpine</t>
  </si>
  <si>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</si>
  <si>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</si>
  <si>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</si>
  <si>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</si>
  <si>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</si>
  <si>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</si>
  <si>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</si>
  <si>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</si>
  <si>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</si>
  <si>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</si>
  <si>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Granite</t>
  </si>
  <si>
    <t>Iron</t>
  </si>
  <si>
    <t>Jordan</t>
  </si>
  <si>
    <t>Juab</t>
  </si>
  <si>
    <t>Kane</t>
  </si>
  <si>
    <t>Millard</t>
  </si>
  <si>
    <t>Morgan</t>
  </si>
  <si>
    <t>Nebo</t>
  </si>
  <si>
    <t>No. Sanpete</t>
  </si>
  <si>
    <t>No. Summit</t>
  </si>
  <si>
    <t>Park City</t>
  </si>
  <si>
    <t>Piute</t>
  </si>
  <si>
    <t>Rich</t>
  </si>
  <si>
    <t>San Juan</t>
  </si>
  <si>
    <t>Sevier</t>
  </si>
  <si>
    <t>So. Sanpete</t>
  </si>
  <si>
    <t>So. Summit</t>
  </si>
  <si>
    <t>Tintic</t>
  </si>
  <si>
    <t>Tooele</t>
  </si>
  <si>
    <t>Wasatch</t>
  </si>
  <si>
    <t>Washington</t>
  </si>
  <si>
    <t>Wayne</t>
  </si>
  <si>
    <t>Weber</t>
  </si>
  <si>
    <t>Salt Lake</t>
  </si>
  <si>
    <t>Ogden</t>
  </si>
  <si>
    <t>Provo</t>
  </si>
  <si>
    <t>Logan</t>
  </si>
  <si>
    <t>Murray</t>
  </si>
  <si>
    <t>Local</t>
  </si>
  <si>
    <t>Amount</t>
  </si>
  <si>
    <t>Total</t>
  </si>
  <si>
    <t>Students</t>
  </si>
  <si>
    <t>Summary of 50% of Local Expenditure per Student</t>
  </si>
  <si>
    <t>District</t>
  </si>
  <si>
    <t>per Student</t>
  </si>
  <si>
    <t>Number of</t>
  </si>
  <si>
    <t>50% Allotment (O times 50%) (Not less than zero)</t>
  </si>
  <si>
    <t>Voted</t>
  </si>
  <si>
    <t>Board</t>
  </si>
  <si>
    <t>State-Supported</t>
  </si>
  <si>
    <t>Capital</t>
  </si>
  <si>
    <t>Program</t>
  </si>
  <si>
    <t>Total Amounts</t>
  </si>
  <si>
    <t>B1</t>
  </si>
  <si>
    <t>B2</t>
  </si>
  <si>
    <t>Rate</t>
  </si>
  <si>
    <t>B. Capital Outlay Expenditures</t>
  </si>
  <si>
    <t>Estimated Assessed Valuations and Final Approved School District Tax Rates</t>
  </si>
  <si>
    <t>AVERAGE</t>
  </si>
  <si>
    <t>Total Final</t>
  </si>
  <si>
    <t>Local School</t>
  </si>
  <si>
    <t>Operation</t>
  </si>
  <si>
    <t>District Levy</t>
  </si>
  <si>
    <t>Average Levies</t>
  </si>
  <si>
    <t>****General Obligation Bond Debt</t>
  </si>
  <si>
    <t>Uintah</t>
  </si>
  <si>
    <t>Local School District</t>
  </si>
  <si>
    <t>R277-437</t>
  </si>
  <si>
    <t>Canyons</t>
  </si>
  <si>
    <t>Debt</t>
  </si>
  <si>
    <t>(Source:  Utah State Tax Commission, Property Tax Division)</t>
  </si>
  <si>
    <t>11-14-310**</t>
  </si>
  <si>
    <t>Statutory Maximum</t>
  </si>
  <si>
    <t>None</t>
  </si>
  <si>
    <t>USTC Budget Code</t>
  </si>
  <si>
    <t>Local Levy</t>
  </si>
  <si>
    <t>Service****</t>
  </si>
  <si>
    <t xml:space="preserve">and </t>
  </si>
  <si>
    <t>Levy</t>
  </si>
  <si>
    <t>Taxes</t>
  </si>
  <si>
    <t xml:space="preserve">Sevier </t>
  </si>
  <si>
    <t xml:space="preserve">Information for this worksheet is taken from the summary of Annual Financial Reports </t>
  </si>
  <si>
    <t>Number of Students Attending other LEAs</t>
  </si>
  <si>
    <t>be forwarded to another LEA (host) from the school district of residence</t>
  </si>
  <si>
    <t>for students attending schools, including charter schools, within the host LEA.</t>
  </si>
  <si>
    <t>Discharge</t>
  </si>
  <si>
    <t>of</t>
  </si>
  <si>
    <t>59-2-1330**</t>
  </si>
  <si>
    <t xml:space="preserve">Maintenance </t>
  </si>
  <si>
    <t>Judgement</t>
  </si>
  <si>
    <t>Residual per Student Expenditure</t>
  </si>
  <si>
    <t>Total Exp Less Prop, Bldg, Construction</t>
  </si>
  <si>
    <t>Prop Tax Rev</t>
  </si>
  <si>
    <t>Local Rev Collected Under Basic Rate (MSP)</t>
  </si>
  <si>
    <t>State Rev -Cap. Projects</t>
  </si>
  <si>
    <t>State Revenue Gen Fund</t>
  </si>
  <si>
    <t>Fed Rev-Cap. Projects</t>
  </si>
  <si>
    <t>Total Local, State, Federal Rev</t>
  </si>
  <si>
    <t>Total Exp Less Local, State, Fed Rev &amp; Exp for Prop., Bldg, Construction</t>
  </si>
  <si>
    <t>UCA 53G-6-405</t>
  </si>
  <si>
    <t>Utah State Board of Education</t>
  </si>
  <si>
    <t>Charter</t>
  </si>
  <si>
    <t>Values Adj. for</t>
  </si>
  <si>
    <t>School Levy</t>
  </si>
  <si>
    <t>RDA &amp; BOE</t>
  </si>
  <si>
    <t>53F-2-301.5**</t>
  </si>
  <si>
    <t>53F-8-302**</t>
  </si>
  <si>
    <t>53F-2-703,704</t>
  </si>
  <si>
    <t>53F-8-303**</t>
  </si>
  <si>
    <t>53F-8-301**</t>
  </si>
  <si>
    <t xml:space="preserve"> *From initial Roll Values from the State Tax Commission with estimated fees-in-lieu, less adjustments calculated from estimated redevelopment increment data from</t>
  </si>
  <si>
    <t xml:space="preserve">    redevelopment agencies.</t>
  </si>
  <si>
    <t>**Section of Utah Code 2018 that authorizes levy.</t>
  </si>
  <si>
    <t>***Adjusted for redevelopment &amp; board of equalization</t>
  </si>
  <si>
    <t>TOTAL FINAL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</si>
  <si>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</si>
  <si>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</si>
  <si>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</si>
  <si>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</si>
  <si>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</si>
  <si>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</si>
  <si>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</si>
  <si>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</si>
  <si>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</si>
  <si>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</si>
  <si>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</si>
  <si>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</si>
  <si>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</si>
  <si>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</si>
  <si>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</si>
  <si>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</si>
  <si>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</si>
  <si>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</si>
  <si>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</si>
  <si>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</si>
  <si>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</si>
  <si>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</si>
  <si>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</si>
  <si>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</si>
  <si>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</si>
  <si>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</si>
  <si>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</si>
  <si>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</si>
  <si>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</si>
  <si>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</si>
  <si>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</si>
  <si>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</si>
  <si>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</si>
  <si>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</si>
  <si>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</si>
  <si>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</si>
  <si>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</si>
  <si>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</si>
  <si>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</si>
  <si>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</si>
  <si>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042</t>
  </si>
  <si>
    <t>Capital Outlay Total Expenditures</t>
  </si>
  <si>
    <t>Interest</t>
  </si>
  <si>
    <t>Redemption of Principal</t>
  </si>
  <si>
    <t>ID</t>
  </si>
  <si>
    <t>FY 2023</t>
  </si>
  <si>
    <t>***Initial</t>
  </si>
  <si>
    <t>Required Basic</t>
  </si>
  <si>
    <t>2021-22</t>
  </si>
  <si>
    <t>W/O Charter</t>
  </si>
  <si>
    <t xml:space="preserve"> November 2021</t>
  </si>
  <si>
    <t>Tax Year 2022--FY 2022-23</t>
  </si>
  <si>
    <t>General Fund Total Expendutures</t>
  </si>
  <si>
    <t>AFR-Total Property</t>
  </si>
  <si>
    <t>AFR-Total Building</t>
  </si>
  <si>
    <t>AFR-Total Construction</t>
  </si>
  <si>
    <t>Fed Revenue Gen fund</t>
  </si>
  <si>
    <t>K-12 +SC ADM-FY22</t>
  </si>
  <si>
    <t>General Fund 10 less local replacement (5619)</t>
  </si>
  <si>
    <t>Fund 32 Less Local Replacement (5619)</t>
  </si>
  <si>
    <t>Fund 32
Func 5000
Obj 830</t>
  </si>
  <si>
    <t>Fund 32
Func 5000
Obj 840</t>
  </si>
  <si>
    <t>Fund 32
Func 4000
Obj 710</t>
  </si>
  <si>
    <t>Fund 32
Func 4000
Obj 720</t>
  </si>
  <si>
    <t>Fund 32
Func 4000
Obj 450</t>
  </si>
  <si>
    <t>Fund 10
Revenue 1100s Property Taxes</t>
  </si>
  <si>
    <t>Fund 10
Rev 3000</t>
  </si>
  <si>
    <t>Fund 10
Rev 4000</t>
  </si>
  <si>
    <t xml:space="preserve">Fund 32
Rev 3000 </t>
  </si>
  <si>
    <t>Fund 32 
Rev 4000</t>
  </si>
  <si>
    <t>Total of Rates Related to M&amp;O</t>
  </si>
  <si>
    <t xml:space="preserve"> FY 2023 Final</t>
  </si>
  <si>
    <t>Amount Due Other LEA (P times Q)</t>
  </si>
  <si>
    <t>Average Daily Membership</t>
  </si>
  <si>
    <t>G. Taxes Collected Under MSP Basic Rate (AFR/AR)</t>
  </si>
  <si>
    <t>Statute and Rule:</t>
  </si>
  <si>
    <t>of school districts.</t>
  </si>
  <si>
    <t xml:space="preserve">Type District Name Here: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</si>
</sst>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0_);[Red]\(#,##0.000000\)"/>
    <numFmt numFmtId="165" formatCode="_(* #,##0_);_(* \(#,##0\);_(* &quot;-&quot;??_);_(@_)"/>
    <numFmt numFmtId="166" formatCode="General_)"/>
    <numFmt numFmtId="167" formatCode="#,##0.000000_______)"/>
    <numFmt numFmtId="168" formatCode="#,##0.000000____"/>
    <numFmt numFmtId="169" formatCode="#,##0.000000_____)"/>
    <numFmt numFmtId="170" formatCode="0.000000_)"/>
    <numFmt numFmtId="171" formatCode=";;;"/>
    <numFmt numFmtId="172" formatCode="0.000000"/>
    <numFmt numFmtId="173" formatCode="#,##0.000000"/>
    <numFmt numFmtId="174" formatCode="0.000000_);[Red]\(0.000000\)"/>
    <numFmt numFmtId="175" formatCode="_(* #,##0.000000_);_(* \(#,##0.000000\);_(* &quot;-&quot;??????_);_(@_)"/>
    <numFmt numFmtId="176" formatCode="0.0%"/>
    <numFmt numFmtId="177" formatCode="#,##0\ ;\(#,##0\)"/>
    <numFmt numFmtId="178" formatCode="_(&quot;$&quot;* #,##0_);_(&quot;$&quot;* \(#,##0\);_(&quot;$&quot;* &quot;-&quot;??_);_(@_)"/>
    <numFmt numFmtId="179" formatCode="#,##0.0_);\(#,##0.0\)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8"/>
      <color indexed="81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sz val="10"/>
      <name val="Courier"/>
      <family val="3"/>
    </font>
    <font>
      <sz val="10"/>
      <name val="MS Sans Serif"/>
      <family val="2"/>
    </font>
    <font>
      <sz val="9"/>
      <name val="Helv"/>
    </font>
    <font>
      <u/>
      <sz val="10"/>
      <name val="Arial"/>
      <family val="2"/>
    </font>
    <font>
      <sz val="10"/>
      <name val="Prestige Elite"/>
    </font>
    <font>
      <sz val="10"/>
      <color indexed="1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color indexed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8.5"/>
      <color rgb="FFFF0000"/>
      <name val="Arial"/>
      <family val="2"/>
    </font>
    <font>
      <sz val="8.5"/>
      <color rgb="FFFF0000"/>
      <name val="Arial"/>
      <family val="2"/>
    </font>
    <font>
      <sz val="8"/>
      <color rgb="FFFF0000"/>
      <name val="Arial"/>
      <family val="2"/>
    </font>
    <font>
      <sz val="10"/>
      <name val="Courier"/>
    </font>
    <font>
      <b/>
      <sz val="12"/>
      <name val="Arial"/>
      <family val="2"/>
    </font>
    <font>
      <b/>
      <sz val="8.5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/>
      <top style="slantDashDot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slantDashDot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2">
    <xf numFmtId="0" fontId="0" fillId="0" borderId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6" fillId="27" borderId="0" applyNumberFormat="0" applyBorder="0" applyAlignment="0" applyProtection="0"/>
    <xf numFmtId="0" fontId="27" fillId="28" borderId="29" applyNumberFormat="0" applyAlignment="0" applyProtection="0"/>
    <xf numFmtId="0" fontId="28" fillId="29" borderId="30" applyNumberFormat="0" applyAlignment="0" applyProtection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17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8" fontId="11" fillId="0" borderId="0" applyFill="0" applyBorder="0" applyAlignment="0"/>
    <xf numFmtId="6" fontId="10" fillId="0" borderId="0" applyFont="0" applyFill="0" applyBorder="0" applyAlignment="0" applyProtection="0"/>
    <xf numFmtId="42" fontId="7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8" fontId="10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8" fontId="10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8" fontId="10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30" borderId="0" applyNumberFormat="0" applyBorder="0" applyAlignment="0" applyProtection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4" fillId="31" borderId="29" applyNumberFormat="0" applyAlignment="0" applyProtection="0"/>
    <xf numFmtId="0" fontId="35" fillId="0" borderId="34" applyNumberFormat="0" applyFill="0" applyAlignment="0" applyProtection="0"/>
    <xf numFmtId="0" fontId="36" fillId="32" borderId="0" applyNumberFormat="0" applyBorder="0" applyAlignment="0" applyProtection="0"/>
    <xf numFmtId="166" fontId="9" fillId="0" borderId="0"/>
    <xf numFmtId="0" fontId="24" fillId="0" borderId="0"/>
    <xf numFmtId="0" fontId="7" fillId="0" borderId="0"/>
    <xf numFmtId="0" fontId="24" fillId="0" borderId="0"/>
    <xf numFmtId="0" fontId="7" fillId="0" borderId="0"/>
    <xf numFmtId="0" fontId="24" fillId="0" borderId="0"/>
    <xf numFmtId="0" fontId="13" fillId="0" borderId="0"/>
    <xf numFmtId="0" fontId="7" fillId="0" borderId="0"/>
    <xf numFmtId="0" fontId="7" fillId="0" borderId="0"/>
    <xf numFmtId="166" fontId="9" fillId="0" borderId="0"/>
    <xf numFmtId="166" fontId="9" fillId="0" borderId="0"/>
    <xf numFmtId="0" fontId="17" fillId="33" borderId="35" applyNumberFormat="0" applyFont="0" applyAlignment="0" applyProtection="0"/>
    <xf numFmtId="0" fontId="37" fillId="28" borderId="36" applyNumberFormat="0" applyAlignment="0" applyProtection="0"/>
    <xf numFmtId="9" fontId="10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37" applyNumberFormat="0" applyFill="0" applyAlignment="0" applyProtection="0"/>
    <xf numFmtId="0" fontId="41" fillId="0" borderId="0" applyNumberForma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50" fillId="0" borderId="0"/>
    <xf numFmtId="9" fontId="50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15">
    <xf numFmtId="0" fontId="0" fillId="0" borderId="0" xfId="0"/>
    <xf numFmtId="0" fontId="4" fillId="0" borderId="0" xfId="0" applyFont="1" applyAlignment="1">
      <alignment horizontal="centerContinuous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7" fillId="0" borderId="0" xfId="0" applyFont="1"/>
    <xf numFmtId="0" fontId="4" fillId="0" borderId="0" xfId="0" applyFont="1"/>
    <xf numFmtId="0" fontId="7" fillId="0" borderId="0" xfId="0" applyFont="1" applyAlignment="1">
      <alignment horizontal="centerContinuous"/>
    </xf>
    <xf numFmtId="0" fontId="4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166" fontId="16" fillId="2" borderId="0" xfId="92" applyFont="1" applyFill="1" applyAlignment="1">
      <alignment horizontal="center"/>
    </xf>
    <xf numFmtId="175" fontId="15" fillId="2" borderId="0" xfId="92" applyNumberFormat="1" applyFont="1" applyFill="1" applyAlignment="1">
      <alignment horizontal="right"/>
    </xf>
    <xf numFmtId="39" fontId="7" fillId="0" borderId="0" xfId="0" applyNumberFormat="1" applyFont="1"/>
    <xf numFmtId="40" fontId="7" fillId="0" borderId="7" xfId="0" applyNumberFormat="1" applyFont="1" applyBorder="1"/>
    <xf numFmtId="40" fontId="7" fillId="0" borderId="8" xfId="0" applyNumberFormat="1" applyFont="1" applyBorder="1"/>
    <xf numFmtId="0" fontId="7" fillId="0" borderId="9" xfId="0" applyFont="1" applyBorder="1"/>
    <xf numFmtId="40" fontId="7" fillId="0" borderId="10" xfId="0" applyNumberFormat="1" applyFont="1" applyBorder="1"/>
    <xf numFmtId="0" fontId="7" fillId="0" borderId="11" xfId="0" applyFont="1" applyBorder="1"/>
    <xf numFmtId="40" fontId="7" fillId="0" borderId="12" xfId="0" applyNumberFormat="1" applyFont="1" applyBorder="1"/>
    <xf numFmtId="0" fontId="7" fillId="0" borderId="13" xfId="0" applyFont="1" applyBorder="1"/>
    <xf numFmtId="40" fontId="7" fillId="0" borderId="14" xfId="0" applyNumberFormat="1" applyFont="1" applyBorder="1"/>
    <xf numFmtId="38" fontId="7" fillId="0" borderId="0" xfId="0" applyNumberFormat="1" applyFont="1"/>
    <xf numFmtId="0" fontId="44" fillId="2" borderId="0" xfId="0" applyFont="1" applyFill="1"/>
    <xf numFmtId="0" fontId="44" fillId="0" borderId="0" xfId="0" applyFont="1"/>
    <xf numFmtId="0" fontId="45" fillId="2" borderId="0" xfId="0" applyFont="1" applyFill="1"/>
    <xf numFmtId="0" fontId="45" fillId="2" borderId="0" xfId="0" applyFont="1" applyFill="1" applyAlignment="1">
      <alignment horizontal="center"/>
    </xf>
    <xf numFmtId="38" fontId="44" fillId="0" borderId="0" xfId="28" applyFont="1" applyFill="1" applyBorder="1"/>
    <xf numFmtId="38" fontId="44" fillId="0" borderId="0" xfId="28" applyFont="1" applyFill="1" applyBorder="1" applyAlignment="1" applyProtection="1"/>
    <xf numFmtId="38" fontId="48" fillId="0" borderId="0" xfId="28" applyFont="1" applyFill="1" applyBorder="1"/>
    <xf numFmtId="38" fontId="7" fillId="0" borderId="15" xfId="0" applyNumberFormat="1" applyFont="1" applyBorder="1"/>
    <xf numFmtId="40" fontId="7" fillId="0" borderId="15" xfId="0" applyNumberFormat="1" applyFont="1" applyBorder="1"/>
    <xf numFmtId="14" fontId="7" fillId="0" borderId="0" xfId="0" applyNumberFormat="1" applyFont="1"/>
    <xf numFmtId="0" fontId="4" fillId="0" borderId="1" xfId="0" applyFont="1" applyBorder="1"/>
    <xf numFmtId="0" fontId="7" fillId="0" borderId="1" xfId="0" applyFont="1" applyBorder="1"/>
    <xf numFmtId="0" fontId="12" fillId="0" borderId="0" xfId="0" applyFont="1"/>
    <xf numFmtId="0" fontId="7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  <xf numFmtId="38" fontId="7" fillId="0" borderId="26" xfId="0" applyNumberFormat="1" applyFont="1" applyBorder="1"/>
    <xf numFmtId="17" fontId="7" fillId="0" borderId="15" xfId="0" applyNumberFormat="1" applyFont="1" applyBorder="1" applyAlignment="1">
      <alignment horizontal="center"/>
    </xf>
    <xf numFmtId="40" fontId="7" fillId="0" borderId="25" xfId="0" applyNumberFormat="1" applyFont="1" applyBorder="1"/>
    <xf numFmtId="166" fontId="21" fillId="2" borderId="0" xfId="92" applyFont="1" applyFill="1" applyAlignment="1">
      <alignment horizontal="center"/>
    </xf>
    <xf numFmtId="15" fontId="16" fillId="2" borderId="0" xfId="92" applyNumberFormat="1" applyFont="1" applyFill="1" applyAlignment="1">
      <alignment horizontal="center"/>
    </xf>
    <xf numFmtId="164" fontId="15" fillId="2" borderId="0" xfId="28" applyNumberFormat="1" applyFont="1" applyFill="1" applyBorder="1"/>
    <xf numFmtId="177" fontId="4" fillId="0" borderId="0" xfId="98" applyNumberFormat="1" applyFont="1"/>
    <xf numFmtId="166" fontId="44" fillId="0" borderId="0" xfId="126" applyFont="1"/>
    <xf numFmtId="166" fontId="44" fillId="0" borderId="0" xfId="126" applyFont="1" applyAlignment="1">
      <alignment horizontal="centerContinuous"/>
    </xf>
    <xf numFmtId="166" fontId="40" fillId="0" borderId="0" xfId="126" applyFont="1" applyAlignment="1">
      <alignment horizontal="centerContinuous"/>
    </xf>
    <xf numFmtId="166" fontId="40" fillId="0" borderId="0" xfId="126" applyFont="1"/>
    <xf numFmtId="166" fontId="19" fillId="0" borderId="0" xfId="126" applyFont="1"/>
    <xf numFmtId="166" fontId="18" fillId="34" borderId="38" xfId="126" applyFont="1" applyFill="1" applyBorder="1"/>
    <xf numFmtId="166" fontId="18" fillId="34" borderId="39" xfId="126" applyFont="1" applyFill="1" applyBorder="1" applyAlignment="1">
      <alignment horizontal="centerContinuous"/>
    </xf>
    <xf numFmtId="166" fontId="19" fillId="34" borderId="39" xfId="126" applyFont="1" applyFill="1" applyBorder="1"/>
    <xf numFmtId="172" fontId="18" fillId="34" borderId="39" xfId="126" applyNumberFormat="1" applyFont="1" applyFill="1" applyBorder="1" applyAlignment="1">
      <alignment horizontal="center"/>
    </xf>
    <xf numFmtId="166" fontId="18" fillId="34" borderId="39" xfId="126" applyFont="1" applyFill="1" applyBorder="1" applyAlignment="1">
      <alignment horizontal="center"/>
    </xf>
    <xf numFmtId="166" fontId="19" fillId="34" borderId="40" xfId="126" applyFont="1" applyFill="1" applyBorder="1"/>
    <xf numFmtId="166" fontId="18" fillId="34" borderId="41" xfId="126" applyFont="1" applyFill="1" applyBorder="1"/>
    <xf numFmtId="40" fontId="18" fillId="34" borderId="27" xfId="29" applyFont="1" applyFill="1" applyBorder="1" applyAlignment="1" applyProtection="1">
      <alignment horizontal="centerContinuous"/>
    </xf>
    <xf numFmtId="166" fontId="18" fillId="34" borderId="27" xfId="126" applyFont="1" applyFill="1" applyBorder="1" applyAlignment="1">
      <alignment horizontal="center"/>
    </xf>
    <xf numFmtId="1" fontId="18" fillId="34" borderId="27" xfId="126" applyNumberFormat="1" applyFont="1" applyFill="1" applyBorder="1" applyAlignment="1">
      <alignment horizontal="center"/>
    </xf>
    <xf numFmtId="166" fontId="18" fillId="34" borderId="27" xfId="126" applyFont="1" applyFill="1" applyBorder="1" applyAlignment="1">
      <alignment horizontal="centerContinuous"/>
    </xf>
    <xf numFmtId="166" fontId="18" fillId="34" borderId="42" xfId="126" applyFont="1" applyFill="1" applyBorder="1" applyAlignment="1">
      <alignment horizontal="center"/>
    </xf>
    <xf numFmtId="166" fontId="44" fillId="0" borderId="0" xfId="126" applyFont="1" applyAlignment="1">
      <alignment horizontal="fill"/>
    </xf>
    <xf numFmtId="166" fontId="47" fillId="0" borderId="0" xfId="126" applyFont="1" applyAlignment="1">
      <alignment horizontal="center"/>
    </xf>
    <xf numFmtId="166" fontId="18" fillId="0" borderId="0" xfId="126" applyFont="1"/>
    <xf numFmtId="166" fontId="18" fillId="34" borderId="3" xfId="126" applyFont="1" applyFill="1" applyBorder="1"/>
    <xf numFmtId="166" fontId="47" fillId="0" borderId="0" xfId="126" applyFont="1"/>
    <xf numFmtId="166" fontId="45" fillId="0" borderId="0" xfId="126" applyFont="1"/>
    <xf numFmtId="166" fontId="45" fillId="0" borderId="0" xfId="126" applyFont="1" applyAlignment="1">
      <alignment horizontal="center"/>
    </xf>
    <xf numFmtId="166" fontId="18" fillId="34" borderId="3" xfId="126" applyFont="1" applyFill="1" applyBorder="1" applyAlignment="1">
      <alignment horizontal="center"/>
    </xf>
    <xf numFmtId="166" fontId="18" fillId="34" borderId="6" xfId="126" applyFont="1" applyFill="1" applyBorder="1" applyAlignment="1">
      <alignment horizontal="centerContinuous"/>
    </xf>
    <xf numFmtId="166" fontId="18" fillId="34" borderId="6" xfId="126" applyFont="1" applyFill="1" applyBorder="1" applyAlignment="1">
      <alignment horizontal="center"/>
    </xf>
    <xf numFmtId="166" fontId="18" fillId="34" borderId="6" xfId="126" quotePrefix="1" applyFont="1" applyFill="1" applyBorder="1" applyAlignment="1">
      <alignment horizontal="center"/>
    </xf>
    <xf numFmtId="166" fontId="18" fillId="34" borderId="43" xfId="126" applyFont="1" applyFill="1" applyBorder="1" applyAlignment="1">
      <alignment horizontal="center"/>
    </xf>
    <xf numFmtId="172" fontId="18" fillId="34" borderId="6" xfId="126" applyNumberFormat="1" applyFont="1" applyFill="1" applyBorder="1" applyAlignment="1">
      <alignment horizontal="center"/>
    </xf>
    <xf numFmtId="166" fontId="18" fillId="34" borderId="44" xfId="126" applyFont="1" applyFill="1" applyBorder="1"/>
    <xf numFmtId="15" fontId="18" fillId="34" borderId="45" xfId="126" quotePrefix="1" applyNumberFormat="1" applyFont="1" applyFill="1" applyBorder="1" applyAlignment="1">
      <alignment horizontal="centerContinuous"/>
    </xf>
    <xf numFmtId="166" fontId="18" fillId="34" borderId="45" xfId="126" applyFont="1" applyFill="1" applyBorder="1" applyAlignment="1">
      <alignment horizontal="center"/>
    </xf>
    <xf numFmtId="166" fontId="18" fillId="34" borderId="46" xfId="126" applyFont="1" applyFill="1" applyBorder="1" applyAlignment="1">
      <alignment horizontal="center"/>
    </xf>
    <xf numFmtId="166" fontId="18" fillId="0" borderId="47" xfId="126" applyFont="1" applyBorder="1" applyAlignment="1">
      <alignment horizontal="center"/>
    </xf>
    <xf numFmtId="166" fontId="18" fillId="0" borderId="48" xfId="126" applyFont="1" applyBorder="1" applyAlignment="1">
      <alignment horizontal="left"/>
    </xf>
    <xf numFmtId="42" fontId="7" fillId="0" borderId="23" xfId="38" applyNumberFormat="1" applyFont="1" applyFill="1" applyBorder="1"/>
    <xf numFmtId="167" fontId="19" fillId="0" borderId="49" xfId="126" applyNumberFormat="1" applyFont="1" applyBorder="1" applyAlignment="1">
      <alignment horizontal="center"/>
    </xf>
    <xf numFmtId="167" fontId="19" fillId="0" borderId="23" xfId="126" applyNumberFormat="1" applyFont="1" applyBorder="1" applyAlignment="1">
      <alignment horizontal="center"/>
    </xf>
    <xf numFmtId="168" fontId="18" fillId="0" borderId="50" xfId="126" applyNumberFormat="1" applyFont="1" applyBorder="1"/>
    <xf numFmtId="38" fontId="44" fillId="0" borderId="0" xfId="38" applyFont="1" applyFill="1" applyBorder="1"/>
    <xf numFmtId="164" fontId="44" fillId="0" borderId="0" xfId="38" applyNumberFormat="1" applyFont="1" applyFill="1" applyBorder="1"/>
    <xf numFmtId="38" fontId="48" fillId="0" borderId="0" xfId="38" applyFont="1" applyFill="1" applyBorder="1"/>
    <xf numFmtId="38" fontId="44" fillId="0" borderId="0" xfId="38" applyFont="1" applyFill="1" applyBorder="1" applyAlignment="1"/>
    <xf numFmtId="176" fontId="44" fillId="0" borderId="0" xfId="126" applyNumberFormat="1" applyFont="1"/>
    <xf numFmtId="166" fontId="18" fillId="0" borderId="51" xfId="126" applyFont="1" applyBorder="1" applyAlignment="1">
      <alignment horizontal="left"/>
    </xf>
    <xf numFmtId="42" fontId="7" fillId="0" borderId="6" xfId="38" applyNumberFormat="1" applyFont="1" applyFill="1" applyBorder="1"/>
    <xf numFmtId="167" fontId="19" fillId="0" borderId="18" xfId="126" applyNumberFormat="1" applyFont="1" applyBorder="1" applyAlignment="1">
      <alignment horizontal="center"/>
    </xf>
    <xf numFmtId="167" fontId="19" fillId="0" borderId="6" xfId="126" applyNumberFormat="1" applyFont="1" applyBorder="1" applyAlignment="1">
      <alignment horizontal="center"/>
    </xf>
    <xf numFmtId="168" fontId="18" fillId="0" borderId="43" xfId="126" applyNumberFormat="1" applyFont="1" applyBorder="1"/>
    <xf numFmtId="38" fontId="44" fillId="0" borderId="0" xfId="28" applyFont="1" applyFill="1" applyBorder="1" applyProtection="1"/>
    <xf numFmtId="166" fontId="18" fillId="0" borderId="52" xfId="126" applyFont="1" applyBorder="1" applyAlignment="1">
      <alignment horizontal="left"/>
    </xf>
    <xf numFmtId="42" fontId="7" fillId="0" borderId="16" xfId="38" applyNumberFormat="1" applyFont="1" applyFill="1" applyBorder="1"/>
    <xf numFmtId="167" fontId="19" fillId="0" borderId="17" xfId="126" applyNumberFormat="1" applyFont="1" applyBorder="1" applyAlignment="1">
      <alignment horizontal="center"/>
    </xf>
    <xf numFmtId="167" fontId="19" fillId="0" borderId="16" xfId="126" applyNumberFormat="1" applyFont="1" applyBorder="1" applyAlignment="1">
      <alignment horizontal="center"/>
    </xf>
    <xf numFmtId="168" fontId="18" fillId="0" borderId="53" xfId="126" applyNumberFormat="1" applyFont="1" applyBorder="1"/>
    <xf numFmtId="166" fontId="18" fillId="0" borderId="54" xfId="126" applyFont="1" applyBorder="1" applyAlignment="1">
      <alignment horizontal="left"/>
    </xf>
    <xf numFmtId="42" fontId="7" fillId="0" borderId="27" xfId="38" applyNumberFormat="1" applyFont="1" applyFill="1" applyBorder="1"/>
    <xf numFmtId="167" fontId="19" fillId="0" borderId="21" xfId="126" applyNumberFormat="1" applyFont="1" applyBorder="1" applyAlignment="1">
      <alignment horizontal="center"/>
    </xf>
    <xf numFmtId="167" fontId="19" fillId="0" borderId="27" xfId="126" applyNumberFormat="1" applyFont="1" applyBorder="1" applyAlignment="1">
      <alignment horizontal="center"/>
    </xf>
    <xf numFmtId="168" fontId="18" fillId="0" borderId="42" xfId="126" applyNumberFormat="1" applyFont="1" applyBorder="1"/>
    <xf numFmtId="166" fontId="19" fillId="0" borderId="47" xfId="126" applyFont="1" applyBorder="1"/>
    <xf numFmtId="166" fontId="18" fillId="0" borderId="55" xfId="126" applyFont="1" applyBorder="1" applyAlignment="1">
      <alignment horizontal="center"/>
    </xf>
    <xf numFmtId="6" fontId="18" fillId="0" borderId="45" xfId="41" applyNumberFormat="1" applyFont="1" applyFill="1" applyBorder="1" applyAlignment="1" applyProtection="1">
      <alignment horizontal="right"/>
    </xf>
    <xf numFmtId="167" fontId="19" fillId="0" borderId="56" xfId="126" applyNumberFormat="1" applyFont="1" applyBorder="1" applyAlignment="1">
      <alignment horizontal="center"/>
    </xf>
    <xf numFmtId="167" fontId="19" fillId="0" borderId="45" xfId="126" applyNumberFormat="1" applyFont="1" applyBorder="1" applyAlignment="1">
      <alignment horizontal="center"/>
    </xf>
    <xf numFmtId="168" fontId="45" fillId="0" borderId="46" xfId="126" applyNumberFormat="1" applyFont="1" applyBorder="1"/>
    <xf numFmtId="38" fontId="49" fillId="0" borderId="0" xfId="38" applyFont="1" applyFill="1" applyBorder="1"/>
    <xf numFmtId="166" fontId="18" fillId="0" borderId="47" xfId="126" applyFont="1" applyBorder="1"/>
    <xf numFmtId="166" fontId="18" fillId="0" borderId="57" xfId="126" applyFont="1" applyBorder="1" applyAlignment="1">
      <alignment horizontal="left"/>
    </xf>
    <xf numFmtId="38" fontId="45" fillId="0" borderId="58" xfId="38" applyFont="1" applyFill="1" applyBorder="1"/>
    <xf numFmtId="167" fontId="18" fillId="0" borderId="20" xfId="126" applyNumberFormat="1" applyFont="1" applyBorder="1"/>
    <xf numFmtId="167" fontId="18" fillId="0" borderId="58" xfId="126" applyNumberFormat="1" applyFont="1" applyBorder="1"/>
    <xf numFmtId="167" fontId="18" fillId="0" borderId="59" xfId="126" applyNumberFormat="1" applyFont="1" applyBorder="1"/>
    <xf numFmtId="168" fontId="18" fillId="0" borderId="58" xfId="126" applyNumberFormat="1" applyFont="1" applyBorder="1"/>
    <xf numFmtId="167" fontId="18" fillId="0" borderId="60" xfId="126" applyNumberFormat="1" applyFont="1" applyBorder="1"/>
    <xf numFmtId="166" fontId="46" fillId="0" borderId="0" xfId="126" applyFont="1"/>
    <xf numFmtId="166" fontId="20" fillId="0" borderId="0" xfId="126" applyFont="1" applyAlignment="1">
      <alignment horizontal="left"/>
    </xf>
    <xf numFmtId="167" fontId="44" fillId="0" borderId="0" xfId="126" applyNumberFormat="1" applyFont="1"/>
    <xf numFmtId="169" fontId="44" fillId="0" borderId="0" xfId="126" applyNumberFormat="1" applyFont="1"/>
    <xf numFmtId="168" fontId="44" fillId="0" borderId="0" xfId="126" applyNumberFormat="1" applyFont="1"/>
    <xf numFmtId="166" fontId="49" fillId="0" borderId="0" xfId="126" applyFont="1" applyAlignment="1">
      <alignment horizontal="left"/>
    </xf>
    <xf numFmtId="173" fontId="44" fillId="0" borderId="0" xfId="126" applyNumberFormat="1" applyFont="1"/>
    <xf numFmtId="166" fontId="20" fillId="0" borderId="0" xfId="126" quotePrefix="1" applyFont="1"/>
    <xf numFmtId="170" fontId="44" fillId="0" borderId="0" xfId="126" applyNumberFormat="1" applyFont="1"/>
    <xf numFmtId="166" fontId="49" fillId="0" borderId="0" xfId="126" quotePrefix="1" applyFont="1"/>
    <xf numFmtId="171" fontId="44" fillId="0" borderId="0" xfId="126" applyNumberFormat="1" applyFont="1"/>
    <xf numFmtId="168" fontId="40" fillId="0" borderId="0" xfId="126" applyNumberFormat="1" applyFont="1"/>
    <xf numFmtId="166" fontId="20" fillId="0" borderId="0" xfId="126" quotePrefix="1" applyFont="1" applyAlignment="1">
      <alignment horizontal="left"/>
    </xf>
    <xf numFmtId="166" fontId="49" fillId="0" borderId="0" xfId="126" quotePrefix="1" applyFont="1" applyAlignment="1">
      <alignment horizontal="left"/>
    </xf>
    <xf numFmtId="0" fontId="4" fillId="0" borderId="0" xfId="128" applyFont="1" applyAlignment="1">
      <alignment horizontal="left"/>
    </xf>
    <xf numFmtId="0" fontId="4" fillId="0" borderId="0" xfId="128" applyFont="1" applyAlignment="1">
      <alignment horizontal="center"/>
    </xf>
    <xf numFmtId="0" fontId="4" fillId="0" borderId="0" xfId="128" applyFont="1"/>
    <xf numFmtId="0" fontId="1" fillId="0" borderId="0" xfId="128"/>
    <xf numFmtId="0" fontId="4" fillId="0" borderId="21" xfId="128" applyFont="1" applyBorder="1" applyAlignment="1">
      <alignment horizontal="left"/>
    </xf>
    <xf numFmtId="0" fontId="4" fillId="0" borderId="22" xfId="128" applyFont="1" applyBorder="1" applyAlignment="1">
      <alignment horizontal="left"/>
    </xf>
    <xf numFmtId="0" fontId="4" fillId="0" borderId="21" xfId="128" applyFont="1" applyBorder="1" applyAlignment="1">
      <alignment horizontal="center"/>
    </xf>
    <xf numFmtId="0" fontId="4" fillId="0" borderId="22" xfId="128" applyFont="1" applyBorder="1" applyAlignment="1">
      <alignment horizontal="center"/>
    </xf>
    <xf numFmtId="0" fontId="4" fillId="0" borderId="28" xfId="128" applyFont="1" applyBorder="1" applyAlignment="1">
      <alignment horizontal="center"/>
    </xf>
    <xf numFmtId="0" fontId="19" fillId="0" borderId="18" xfId="128" applyFont="1" applyBorder="1" applyAlignment="1">
      <alignment horizontal="left" vertical="top" wrapText="1"/>
    </xf>
    <xf numFmtId="0" fontId="19" fillId="0" borderId="0" xfId="128" applyFont="1" applyAlignment="1">
      <alignment horizontal="left" vertical="top" wrapText="1"/>
    </xf>
    <xf numFmtId="0" fontId="18" fillId="0" borderId="18" xfId="128" applyFont="1" applyBorder="1" applyAlignment="1">
      <alignment horizontal="center" vertical="top" wrapText="1"/>
    </xf>
    <xf numFmtId="0" fontId="18" fillId="0" borderId="0" xfId="128" applyFont="1" applyAlignment="1">
      <alignment horizontal="center" vertical="top" wrapText="1"/>
    </xf>
    <xf numFmtId="9" fontId="18" fillId="0" borderId="19" xfId="128" applyNumberFormat="1" applyFont="1" applyBorder="1" applyAlignment="1">
      <alignment horizontal="center" vertical="top" wrapText="1"/>
    </xf>
    <xf numFmtId="0" fontId="19" fillId="0" borderId="0" xfId="128" applyFont="1" applyAlignment="1">
      <alignment horizontal="center" vertical="top" wrapText="1"/>
    </xf>
    <xf numFmtId="0" fontId="1" fillId="0" borderId="0" xfId="128" applyAlignment="1">
      <alignment vertical="top"/>
    </xf>
    <xf numFmtId="0" fontId="18" fillId="0" borderId="17" xfId="128" applyFont="1" applyBorder="1" applyAlignment="1">
      <alignment horizontal="left" wrapText="1"/>
    </xf>
    <xf numFmtId="0" fontId="19" fillId="0" borderId="15" xfId="128" applyFont="1" applyBorder="1" applyAlignment="1">
      <alignment horizontal="left" wrapText="1"/>
    </xf>
    <xf numFmtId="0" fontId="18" fillId="0" borderId="15" xfId="128" applyFont="1" applyBorder="1" applyAlignment="1">
      <alignment horizontal="left" wrapText="1"/>
    </xf>
    <xf numFmtId="0" fontId="4" fillId="0" borderId="17" xfId="128" applyFont="1" applyBorder="1" applyAlignment="1">
      <alignment horizontal="center"/>
    </xf>
    <xf numFmtId="0" fontId="4" fillId="0" borderId="15" xfId="128" applyFont="1" applyBorder="1" applyAlignment="1">
      <alignment horizontal="center"/>
    </xf>
    <xf numFmtId="0" fontId="4" fillId="0" borderId="24" xfId="128" applyFont="1" applyBorder="1" applyAlignment="1">
      <alignment horizontal="center"/>
    </xf>
    <xf numFmtId="0" fontId="22" fillId="0" borderId="18" xfId="128" applyFont="1" applyBorder="1" applyAlignment="1">
      <alignment horizontal="left"/>
    </xf>
    <xf numFmtId="0" fontId="22" fillId="0" borderId="0" xfId="128" applyFont="1" applyAlignment="1">
      <alignment horizontal="left"/>
    </xf>
    <xf numFmtId="164" fontId="7" fillId="0" borderId="0" xfId="128" applyNumberFormat="1" applyFont="1"/>
    <xf numFmtId="40" fontId="42" fillId="0" borderId="0" xfId="128" applyNumberFormat="1" applyFont="1"/>
    <xf numFmtId="0" fontId="22" fillId="0" borderId="17" xfId="128" applyFont="1" applyBorder="1" applyAlignment="1">
      <alignment horizontal="left"/>
    </xf>
    <xf numFmtId="0" fontId="22" fillId="0" borderId="15" xfId="128" applyFont="1" applyBorder="1" applyAlignment="1">
      <alignment horizontal="left"/>
    </xf>
    <xf numFmtId="0" fontId="4" fillId="0" borderId="15" xfId="128" applyFont="1" applyBorder="1" applyAlignment="1">
      <alignment horizontal="left"/>
    </xf>
    <xf numFmtId="165" fontId="23" fillId="0" borderId="0" xfId="131" applyNumberFormat="1" applyFont="1" applyBorder="1" applyAlignment="1">
      <alignment horizontal="left"/>
    </xf>
    <xf numFmtId="165" fontId="4" fillId="0" borderId="0" xfId="131" applyNumberFormat="1" applyFont="1" applyBorder="1" applyAlignment="1">
      <alignment horizontal="left"/>
    </xf>
    <xf numFmtId="165" fontId="39" fillId="0" borderId="0" xfId="131" applyNumberFormat="1" applyFont="1" applyBorder="1"/>
    <xf numFmtId="165" fontId="43" fillId="0" borderId="0" xfId="131" applyNumberFormat="1" applyFont="1"/>
    <xf numFmtId="165" fontId="39" fillId="0" borderId="0" xfId="131" applyNumberFormat="1" applyFont="1"/>
    <xf numFmtId="38" fontId="4" fillId="0" borderId="0" xfId="128" applyNumberFormat="1" applyFont="1"/>
    <xf numFmtId="43" fontId="4" fillId="0" borderId="0" xfId="131" applyFont="1" applyFill="1"/>
    <xf numFmtId="8" fontId="4" fillId="0" borderId="0" xfId="128" applyNumberFormat="1" applyFont="1"/>
    <xf numFmtId="40" fontId="4" fillId="0" borderId="0" xfId="128" applyNumberFormat="1" applyFont="1"/>
    <xf numFmtId="0" fontId="43" fillId="0" borderId="0" xfId="128" applyFont="1"/>
    <xf numFmtId="0" fontId="1" fillId="0" borderId="0" xfId="128" applyAlignment="1">
      <alignment horizontal="left" vertical="top"/>
    </xf>
    <xf numFmtId="0" fontId="1" fillId="0" borderId="0" xfId="128" applyAlignment="1">
      <alignment vertical="top" wrapText="1"/>
    </xf>
    <xf numFmtId="164" fontId="7" fillId="0" borderId="0" xfId="128" applyNumberFormat="1" applyFont="1" applyAlignment="1">
      <alignment vertical="top"/>
    </xf>
    <xf numFmtId="0" fontId="1" fillId="0" borderId="0" xfId="128" applyAlignment="1">
      <alignment horizontal="left" wrapText="1"/>
    </xf>
    <xf numFmtId="0" fontId="1" fillId="0" borderId="0" xfId="128" applyAlignment="1">
      <alignment wrapText="1"/>
    </xf>
    <xf numFmtId="38" fontId="7" fillId="0" borderId="0" xfId="128" applyNumberFormat="1" applyFont="1" applyAlignment="1">
      <alignment wrapText="1"/>
    </xf>
    <xf numFmtId="0" fontId="41" fillId="0" borderId="0" xfId="128" applyFont="1" applyAlignment="1">
      <alignment wrapText="1"/>
    </xf>
    <xf numFmtId="164" fontId="7" fillId="0" borderId="0" xfId="128" applyNumberFormat="1" applyFont="1" applyAlignment="1">
      <alignment wrapText="1"/>
    </xf>
    <xf numFmtId="0" fontId="1" fillId="0" borderId="0" xfId="128" applyAlignment="1">
      <alignment horizontal="left"/>
    </xf>
    <xf numFmtId="44" fontId="7" fillId="0" borderId="0" xfId="124" applyFont="1"/>
    <xf numFmtId="178" fontId="7" fillId="0" borderId="18" xfId="124" applyNumberFormat="1" applyFont="1" applyBorder="1"/>
    <xf numFmtId="178" fontId="7" fillId="0" borderId="0" xfId="124" applyNumberFormat="1" applyFont="1"/>
    <xf numFmtId="178" fontId="7" fillId="0" borderId="0" xfId="124" applyNumberFormat="1" applyFont="1" applyAlignment="1">
      <alignment horizontal="right"/>
    </xf>
    <xf numFmtId="178" fontId="7" fillId="0" borderId="17" xfId="124" applyNumberFormat="1" applyFont="1" applyBorder="1"/>
    <xf numFmtId="178" fontId="7" fillId="0" borderId="15" xfId="124" applyNumberFormat="1" applyFont="1" applyBorder="1"/>
    <xf numFmtId="178" fontId="7" fillId="0" borderId="15" xfId="124" applyNumberFormat="1" applyFont="1" applyBorder="1" applyAlignment="1">
      <alignment horizontal="right"/>
    </xf>
    <xf numFmtId="178" fontId="4" fillId="0" borderId="0" xfId="124" applyNumberFormat="1" applyFont="1" applyBorder="1"/>
    <xf numFmtId="178" fontId="7" fillId="0" borderId="0" xfId="124" applyNumberFormat="1" applyFont="1" applyFill="1" applyBorder="1"/>
    <xf numFmtId="178" fontId="4" fillId="0" borderId="22" xfId="124" applyNumberFormat="1" applyFont="1" applyBorder="1"/>
    <xf numFmtId="179" fontId="7" fillId="0" borderId="0" xfId="130" applyNumberFormat="1" applyFont="1"/>
    <xf numFmtId="44" fontId="7" fillId="0" borderId="19" xfId="124" applyFont="1" applyBorder="1"/>
    <xf numFmtId="165" fontId="4" fillId="0" borderId="22" xfId="131" applyNumberFormat="1" applyFont="1" applyBorder="1"/>
    <xf numFmtId="44" fontId="4" fillId="0" borderId="22" xfId="124" applyFont="1" applyBorder="1"/>
    <xf numFmtId="9" fontId="1" fillId="0" borderId="0" xfId="125" applyFont="1"/>
    <xf numFmtId="40" fontId="1" fillId="0" borderId="0" xfId="128" applyNumberFormat="1"/>
    <xf numFmtId="0" fontId="51" fillId="0" borderId="0" xfId="0" applyFont="1"/>
    <xf numFmtId="166" fontId="52" fillId="0" borderId="0" xfId="126" applyFont="1" applyAlignment="1">
      <alignment horizontal="center"/>
    </xf>
    <xf numFmtId="164" fontId="19" fillId="0" borderId="0" xfId="38" applyNumberFormat="1" applyFont="1" applyFill="1" applyBorder="1"/>
    <xf numFmtId="38" fontId="19" fillId="0" borderId="0" xfId="38" applyFont="1" applyFill="1" applyBorder="1" applyAlignment="1">
      <alignment horizontal="center"/>
    </xf>
    <xf numFmtId="164" fontId="18" fillId="0" borderId="0" xfId="38" applyNumberFormat="1" applyFont="1" applyFill="1" applyBorder="1"/>
    <xf numFmtId="166" fontId="4" fillId="0" borderId="0" xfId="126" applyFont="1"/>
    <xf numFmtId="166" fontId="19" fillId="0" borderId="0" xfId="126" applyFont="1" applyAlignment="1">
      <alignment horizontal="left"/>
    </xf>
    <xf numFmtId="174" fontId="18" fillId="34" borderId="6" xfId="126" applyNumberFormat="1" applyFont="1" applyFill="1" applyBorder="1" applyAlignment="1">
      <alignment horizontal="center"/>
    </xf>
    <xf numFmtId="0" fontId="6" fillId="0" borderId="0" xfId="88" applyAlignment="1" applyProtection="1"/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horizontal="right"/>
    </xf>
    <xf numFmtId="166" fontId="18" fillId="0" borderId="0" xfId="126" applyFont="1" applyAlignment="1">
      <alignment horizontal="center"/>
    </xf>
  </cellXfs>
  <cellStyles count="132">
    <cellStyle name="20% - Accent1 2" xfId="1" xr:uid="{00000000-0005-0000-0000-000000000000}"/>
    <cellStyle name="20% - Accent1 2 2" xfId="109" xr:uid="{CF621B4B-A19F-4BEA-8376-9E8317797C7D}"/>
    <cellStyle name="20% - Accent2 2" xfId="2" xr:uid="{00000000-0005-0000-0000-000001000000}"/>
    <cellStyle name="20% - Accent2 2 2" xfId="110" xr:uid="{F5999FAC-2844-4B4F-915F-9CCCCDEB0979}"/>
    <cellStyle name="20% - Accent3 2" xfId="3" xr:uid="{00000000-0005-0000-0000-000002000000}"/>
    <cellStyle name="20% - Accent3 2 2" xfId="111" xr:uid="{7214CA3A-5DEC-45D4-B977-C32E9A8A6BAD}"/>
    <cellStyle name="20% - Accent4 2" xfId="4" xr:uid="{00000000-0005-0000-0000-000003000000}"/>
    <cellStyle name="20% - Accent4 2 2" xfId="112" xr:uid="{7A64BC8D-2578-48C2-90A0-B9AFF5DAA56C}"/>
    <cellStyle name="20% - Accent5 2" xfId="5" xr:uid="{00000000-0005-0000-0000-000004000000}"/>
    <cellStyle name="20% - Accent5 2 2" xfId="113" xr:uid="{3DA8403A-3D33-4E28-A3F6-31AC673A8888}"/>
    <cellStyle name="20% - Accent6 2" xfId="6" xr:uid="{00000000-0005-0000-0000-000005000000}"/>
    <cellStyle name="20% - Accent6 2 2" xfId="114" xr:uid="{ABB04934-824A-4797-8330-622F3F1A9B46}"/>
    <cellStyle name="40% - Accent1 2" xfId="7" xr:uid="{00000000-0005-0000-0000-000006000000}"/>
    <cellStyle name="40% - Accent1 2 2" xfId="115" xr:uid="{2DEC59EC-ECFC-459B-B8E6-FA40A767FAFF}"/>
    <cellStyle name="40% - Accent2 2" xfId="8" xr:uid="{00000000-0005-0000-0000-000007000000}"/>
    <cellStyle name="40% - Accent2 2 2" xfId="116" xr:uid="{AB13CA40-AC24-4B05-980B-9982CF451C44}"/>
    <cellStyle name="40% - Accent3 2" xfId="9" xr:uid="{00000000-0005-0000-0000-000008000000}"/>
    <cellStyle name="40% - Accent3 2 2" xfId="117" xr:uid="{F2D8E7AF-3A08-4F57-969C-8B040C713E9C}"/>
    <cellStyle name="40% - Accent4 2" xfId="10" xr:uid="{00000000-0005-0000-0000-000009000000}"/>
    <cellStyle name="40% - Accent4 2 2" xfId="118" xr:uid="{C890E594-6928-4932-82E3-B681483B0148}"/>
    <cellStyle name="40% - Accent5 2" xfId="11" xr:uid="{00000000-0005-0000-0000-00000A000000}"/>
    <cellStyle name="40% - Accent5 2 2" xfId="119" xr:uid="{ED034138-0AEA-45B0-9578-68FA72F4CA0E}"/>
    <cellStyle name="40% - Accent6 2" xfId="12" xr:uid="{00000000-0005-0000-0000-00000B000000}"/>
    <cellStyle name="40% - Accent6 2 2" xfId="120" xr:uid="{DF6A29F6-D50C-4308-8ED3-9D5502C53CC2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 [0] 2" xfId="28" xr:uid="{00000000-0005-0000-0000-00001C000000}"/>
    <cellStyle name="Comma 2" xfId="29" xr:uid="{00000000-0005-0000-0000-00001D000000}"/>
    <cellStyle name="Comma 2 2" xfId="30" xr:uid="{00000000-0005-0000-0000-00001E000000}"/>
    <cellStyle name="Comma 2 3" xfId="31" xr:uid="{00000000-0005-0000-0000-00001F000000}"/>
    <cellStyle name="Comma 3" xfId="32" xr:uid="{00000000-0005-0000-0000-000020000000}"/>
    <cellStyle name="Comma 3 2" xfId="33" xr:uid="{00000000-0005-0000-0000-000021000000}"/>
    <cellStyle name="Comma 4" xfId="34" xr:uid="{00000000-0005-0000-0000-000022000000}"/>
    <cellStyle name="Comma 4 2" xfId="35" xr:uid="{00000000-0005-0000-0000-000023000000}"/>
    <cellStyle name="Comma 5" xfId="36" xr:uid="{00000000-0005-0000-0000-000024000000}"/>
    <cellStyle name="Comma 6" xfId="37" xr:uid="{00000000-0005-0000-0000-000025000000}"/>
    <cellStyle name="Comma 7" xfId="131" xr:uid="{567C5E67-FF87-4340-8A77-4DA00002A0C8}"/>
    <cellStyle name="Currency" xfId="124" builtinId="4"/>
    <cellStyle name="Currency [0] 2" xfId="38" xr:uid="{00000000-0005-0000-0000-000027000000}"/>
    <cellStyle name="Currency [0] 2 2" xfId="39" xr:uid="{00000000-0005-0000-0000-000028000000}"/>
    <cellStyle name="Currency [0] 3" xfId="40" xr:uid="{00000000-0005-0000-0000-000029000000}"/>
    <cellStyle name="Currency [0] 4" xfId="129" xr:uid="{8756F9CA-BF68-435B-B6A2-80B7A5D02184}"/>
    <cellStyle name="Currency 10" xfId="41" xr:uid="{00000000-0005-0000-0000-00002A000000}"/>
    <cellStyle name="Currency 11" xfId="42" xr:uid="{00000000-0005-0000-0000-00002B000000}"/>
    <cellStyle name="Currency 12" xfId="43" xr:uid="{00000000-0005-0000-0000-00002C000000}"/>
    <cellStyle name="Currency 13" xfId="44" xr:uid="{00000000-0005-0000-0000-00002D000000}"/>
    <cellStyle name="Currency 14" xfId="45" xr:uid="{00000000-0005-0000-0000-00002E000000}"/>
    <cellStyle name="Currency 15" xfId="46" xr:uid="{00000000-0005-0000-0000-00002F000000}"/>
    <cellStyle name="Currency 16" xfId="47" xr:uid="{00000000-0005-0000-0000-000030000000}"/>
    <cellStyle name="Currency 17" xfId="48" xr:uid="{00000000-0005-0000-0000-000031000000}"/>
    <cellStyle name="Currency 18" xfId="49" xr:uid="{00000000-0005-0000-0000-000032000000}"/>
    <cellStyle name="Currency 19" xfId="50" xr:uid="{00000000-0005-0000-0000-000033000000}"/>
    <cellStyle name="Currency 2" xfId="51" xr:uid="{00000000-0005-0000-0000-000034000000}"/>
    <cellStyle name="Currency 2 2" xfId="52" xr:uid="{00000000-0005-0000-0000-000035000000}"/>
    <cellStyle name="Currency 20" xfId="53" xr:uid="{00000000-0005-0000-0000-000036000000}"/>
    <cellStyle name="Currency 21" xfId="54" xr:uid="{00000000-0005-0000-0000-000037000000}"/>
    <cellStyle name="Currency 22" xfId="55" xr:uid="{00000000-0005-0000-0000-000038000000}"/>
    <cellStyle name="Currency 23" xfId="56" xr:uid="{00000000-0005-0000-0000-000039000000}"/>
    <cellStyle name="Currency 24" xfId="57" xr:uid="{00000000-0005-0000-0000-00003A000000}"/>
    <cellStyle name="Currency 25" xfId="58" xr:uid="{00000000-0005-0000-0000-00003B000000}"/>
    <cellStyle name="Currency 26" xfId="59" xr:uid="{00000000-0005-0000-0000-00003C000000}"/>
    <cellStyle name="Currency 27" xfId="60" xr:uid="{00000000-0005-0000-0000-00003D000000}"/>
    <cellStyle name="Currency 28" xfId="61" xr:uid="{00000000-0005-0000-0000-00003E000000}"/>
    <cellStyle name="Currency 29" xfId="62" xr:uid="{00000000-0005-0000-0000-00003F000000}"/>
    <cellStyle name="Currency 3" xfId="63" xr:uid="{00000000-0005-0000-0000-000040000000}"/>
    <cellStyle name="Currency 30" xfId="64" xr:uid="{00000000-0005-0000-0000-000041000000}"/>
    <cellStyle name="Currency 31" xfId="65" xr:uid="{00000000-0005-0000-0000-000042000000}"/>
    <cellStyle name="Currency 32" xfId="66" xr:uid="{00000000-0005-0000-0000-000043000000}"/>
    <cellStyle name="Currency 33" xfId="67" xr:uid="{00000000-0005-0000-0000-000044000000}"/>
    <cellStyle name="Currency 34" xfId="68" xr:uid="{00000000-0005-0000-0000-000045000000}"/>
    <cellStyle name="Currency 35" xfId="69" xr:uid="{00000000-0005-0000-0000-000046000000}"/>
    <cellStyle name="Currency 36" xfId="70" xr:uid="{00000000-0005-0000-0000-000047000000}"/>
    <cellStyle name="Currency 37" xfId="71" xr:uid="{00000000-0005-0000-0000-000048000000}"/>
    <cellStyle name="Currency 38" xfId="72" xr:uid="{00000000-0005-0000-0000-000049000000}"/>
    <cellStyle name="Currency 39" xfId="73" xr:uid="{00000000-0005-0000-0000-00004A000000}"/>
    <cellStyle name="Currency 4" xfId="74" xr:uid="{00000000-0005-0000-0000-00004B000000}"/>
    <cellStyle name="Currency 40" xfId="75" xr:uid="{00000000-0005-0000-0000-00004C000000}"/>
    <cellStyle name="Currency 41" xfId="76" xr:uid="{00000000-0005-0000-0000-00004D000000}"/>
    <cellStyle name="Currency 5" xfId="77" xr:uid="{00000000-0005-0000-0000-00004E000000}"/>
    <cellStyle name="Currency 6" xfId="78" xr:uid="{00000000-0005-0000-0000-00004F000000}"/>
    <cellStyle name="Currency 7" xfId="79" xr:uid="{00000000-0005-0000-0000-000050000000}"/>
    <cellStyle name="Currency 8" xfId="80" xr:uid="{00000000-0005-0000-0000-000051000000}"/>
    <cellStyle name="Currency 9" xfId="81" xr:uid="{00000000-0005-0000-0000-000052000000}"/>
    <cellStyle name="Explanatory Text 2" xfId="82" xr:uid="{00000000-0005-0000-0000-000053000000}"/>
    <cellStyle name="Good 2" xfId="83" xr:uid="{00000000-0005-0000-0000-000054000000}"/>
    <cellStyle name="Heading 1 2" xfId="84" xr:uid="{00000000-0005-0000-0000-000055000000}"/>
    <cellStyle name="Heading 2 2" xfId="85" xr:uid="{00000000-0005-0000-0000-000056000000}"/>
    <cellStyle name="Heading 3 2" xfId="86" xr:uid="{00000000-0005-0000-0000-000057000000}"/>
    <cellStyle name="Heading 4 2" xfId="87" xr:uid="{00000000-0005-0000-0000-000058000000}"/>
    <cellStyle name="Hyperlink" xfId="88" builtinId="8"/>
    <cellStyle name="Input 2" xfId="89" xr:uid="{00000000-0005-0000-0000-00005A000000}"/>
    <cellStyle name="Linked Cell 2" xfId="90" xr:uid="{00000000-0005-0000-0000-00005B000000}"/>
    <cellStyle name="Neutral 2" xfId="91" xr:uid="{00000000-0005-0000-0000-00005C000000}"/>
    <cellStyle name="Normal" xfId="0" builtinId="0"/>
    <cellStyle name="Normal 2" xfId="92" xr:uid="{00000000-0005-0000-0000-00005E000000}"/>
    <cellStyle name="Normal 2 2" xfId="93" xr:uid="{00000000-0005-0000-0000-00005F000000}"/>
    <cellStyle name="Normal 2 2 2" xfId="94" xr:uid="{00000000-0005-0000-0000-000060000000}"/>
    <cellStyle name="Normal 2 2 3" xfId="121" xr:uid="{8C471388-2AE5-43BA-85DD-FB793D8C660B}"/>
    <cellStyle name="Normal 2 2 4" xfId="130" xr:uid="{9D870D7E-359B-4293-AE57-CC82D17C79F7}"/>
    <cellStyle name="Normal 2 3" xfId="95" xr:uid="{00000000-0005-0000-0000-000061000000}"/>
    <cellStyle name="Normal 2 3 2" xfId="122" xr:uid="{638396B8-307F-42C4-BD60-FC29AC91DA29}"/>
    <cellStyle name="Normal 2 4" xfId="96" xr:uid="{00000000-0005-0000-0000-000062000000}"/>
    <cellStyle name="Normal 3" xfId="97" xr:uid="{00000000-0005-0000-0000-000063000000}"/>
    <cellStyle name="Normal 3 2" xfId="123" xr:uid="{1B3241AC-3F8A-4CBB-9A30-CD57FFDCE49E}"/>
    <cellStyle name="Normal 4" xfId="98" xr:uid="{00000000-0005-0000-0000-000064000000}"/>
    <cellStyle name="Normal 4 2" xfId="99" xr:uid="{00000000-0005-0000-0000-000065000000}"/>
    <cellStyle name="Normal 4 3" xfId="100" xr:uid="{00000000-0005-0000-0000-000066000000}"/>
    <cellStyle name="Normal 5" xfId="101" xr:uid="{00000000-0005-0000-0000-000067000000}"/>
    <cellStyle name="Normal 5 2" xfId="102" xr:uid="{00000000-0005-0000-0000-000068000000}"/>
    <cellStyle name="Normal 6" xfId="126" xr:uid="{90E19993-6D78-4835-A6D1-2707CED7845C}"/>
    <cellStyle name="Normal 7" xfId="128" xr:uid="{E2544C4A-8E1A-4C6B-B270-3C40BDCFEC5D}"/>
    <cellStyle name="Note 2" xfId="103" xr:uid="{00000000-0005-0000-0000-000069000000}"/>
    <cellStyle name="Output 2" xfId="104" xr:uid="{00000000-0005-0000-0000-00006A000000}"/>
    <cellStyle name="Percent" xfId="125" builtinId="5"/>
    <cellStyle name="Percent 2" xfId="105" xr:uid="{00000000-0005-0000-0000-00006B000000}"/>
    <cellStyle name="Percent 3" xfId="127" xr:uid="{46CA8EF2-B15E-49A9-808E-ED74E90576D1}"/>
    <cellStyle name="Title" xfId="106" builtinId="15" customBuiltin="1"/>
    <cellStyle name="Total 2" xfId="107" xr:uid="{00000000-0005-0000-0000-00006D000000}"/>
    <cellStyle name="Warning Text 2" xfId="108" xr:uid="{00000000-0005-0000-0000-00006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MSP23\Data\LEA_ADM_SY2022.xlsx" TargetMode="External"/><Relationship Id="rId1" Type="http://schemas.openxmlformats.org/officeDocument/2006/relationships/externalLinkPath" Target="/MSP23/Data/LEA_ADM_SY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SP%20Support/Taxes%20-%20TC/AVTRP2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SP22/MSP22%20Final%20Estimates/Source%20Documents/Updated/Data/TY%202021%20School%20District%20Tax%20R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tricts"/>
      <sheetName val="Charters"/>
      <sheetName val="FOR CSR"/>
    </sheetNames>
    <sheetDataSet>
      <sheetData sheetId="0">
        <row r="2">
          <cell r="S2">
            <v>82978.694444444438</v>
          </cell>
        </row>
        <row r="3">
          <cell r="S3">
            <v>1509.5333333333333</v>
          </cell>
        </row>
        <row r="4">
          <cell r="S4">
            <v>12216.02222222222</v>
          </cell>
        </row>
        <row r="5">
          <cell r="S5">
            <v>19493.82777777778</v>
          </cell>
        </row>
        <row r="6">
          <cell r="S6">
            <v>3328.7000000000003</v>
          </cell>
        </row>
        <row r="7">
          <cell r="S7">
            <v>184.21111111111108</v>
          </cell>
        </row>
        <row r="8">
          <cell r="S8">
            <v>71893.127777777772</v>
          </cell>
        </row>
        <row r="9">
          <cell r="S9">
            <v>5059.8944444444442</v>
          </cell>
        </row>
        <row r="10">
          <cell r="S10">
            <v>2095.4</v>
          </cell>
        </row>
        <row r="11">
          <cell r="S11">
            <v>1225.0444444444443</v>
          </cell>
        </row>
        <row r="12">
          <cell r="S12">
            <v>1418.9555555555557</v>
          </cell>
        </row>
        <row r="13">
          <cell r="S13">
            <v>58802.355555555558</v>
          </cell>
        </row>
        <row r="14">
          <cell r="S14">
            <v>11654.961111111113</v>
          </cell>
        </row>
        <row r="15">
          <cell r="S15">
            <v>57326.816666666666</v>
          </cell>
        </row>
        <row r="16">
          <cell r="S16">
            <v>2588.8333333333335</v>
          </cell>
        </row>
        <row r="17">
          <cell r="S17">
            <v>1381.1611111111108</v>
          </cell>
        </row>
        <row r="18">
          <cell r="S18">
            <v>3063.2000000000003</v>
          </cell>
        </row>
        <row r="19">
          <cell r="S19">
            <v>3328.7777777777774</v>
          </cell>
        </row>
        <row r="20">
          <cell r="S20">
            <v>35248.35</v>
          </cell>
        </row>
        <row r="21">
          <cell r="S21">
            <v>2492.8833333333332</v>
          </cell>
        </row>
        <row r="22">
          <cell r="S22">
            <v>1030.4888888888891</v>
          </cell>
        </row>
        <row r="23">
          <cell r="S23">
            <v>4500.6277777777777</v>
          </cell>
        </row>
        <row r="24">
          <cell r="S24">
            <v>280.57777777777778</v>
          </cell>
        </row>
        <row r="25">
          <cell r="S25">
            <v>498.78888888888889</v>
          </cell>
        </row>
        <row r="26">
          <cell r="S26">
            <v>2824.0333333333333</v>
          </cell>
        </row>
        <row r="27">
          <cell r="S27">
            <v>4520.0777777777785</v>
          </cell>
        </row>
        <row r="28">
          <cell r="S28">
            <v>3143.4222222222224</v>
          </cell>
        </row>
        <row r="29">
          <cell r="S29">
            <v>1655.0444444444445</v>
          </cell>
        </row>
        <row r="30">
          <cell r="S30">
            <v>227.65555555555551</v>
          </cell>
        </row>
        <row r="31">
          <cell r="S31">
            <v>22841.95555555556</v>
          </cell>
        </row>
        <row r="32">
          <cell r="S32">
            <v>6660.416666666667</v>
          </cell>
        </row>
        <row r="33">
          <cell r="S33">
            <v>8669.4111111111106</v>
          </cell>
        </row>
        <row r="34">
          <cell r="S34">
            <v>34145.73333333333</v>
          </cell>
        </row>
        <row r="35">
          <cell r="S35">
            <v>437.38888888888886</v>
          </cell>
        </row>
        <row r="36">
          <cell r="S36">
            <v>32455.866666666661</v>
          </cell>
        </row>
        <row r="37">
          <cell r="S37">
            <v>19591.294444444444</v>
          </cell>
        </row>
        <row r="38">
          <cell r="S38">
            <v>10358.677777777779</v>
          </cell>
        </row>
        <row r="39">
          <cell r="S39">
            <v>13526.594444444443</v>
          </cell>
        </row>
        <row r="40">
          <cell r="S40">
            <v>5195.7777777777783</v>
          </cell>
        </row>
        <row r="41">
          <cell r="S41">
            <v>5899</v>
          </cell>
        </row>
        <row r="42">
          <cell r="S42">
            <v>32797.927777777775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VTRP22"/>
      <sheetName val="AVTRP22 Table"/>
    </sheetNames>
    <sheetDataSet>
      <sheetData sheetId="0"/>
      <sheetData sheetId="1">
        <row r="9">
          <cell r="G9">
            <v>37021275022</v>
          </cell>
        </row>
        <row r="10">
          <cell r="G10">
            <v>1503877049</v>
          </cell>
        </row>
        <row r="11">
          <cell r="G11">
            <v>5663720548</v>
          </cell>
        </row>
        <row r="12">
          <cell r="G12">
            <v>7262797650</v>
          </cell>
        </row>
        <row r="13">
          <cell r="G13">
            <v>1962839031</v>
          </cell>
        </row>
        <row r="14">
          <cell r="G14">
            <v>346544130</v>
          </cell>
        </row>
        <row r="15">
          <cell r="G15">
            <v>30666737136</v>
          </cell>
        </row>
        <row r="16">
          <cell r="G16">
            <v>2594600664</v>
          </cell>
        </row>
        <row r="17">
          <cell r="G17">
            <v>2176831446</v>
          </cell>
        </row>
        <row r="18">
          <cell r="G18">
            <v>755190934</v>
          </cell>
        </row>
        <row r="19">
          <cell r="G19">
            <v>2436924925</v>
          </cell>
        </row>
        <row r="20">
          <cell r="G20">
            <v>36131996888</v>
          </cell>
        </row>
        <row r="21">
          <cell r="G21">
            <v>5495570173</v>
          </cell>
        </row>
        <row r="22">
          <cell r="G22">
            <v>28642893005</v>
          </cell>
        </row>
        <row r="23">
          <cell r="G23">
            <v>1364395318</v>
          </cell>
        </row>
        <row r="24">
          <cell r="G24">
            <v>1788793922</v>
          </cell>
        </row>
        <row r="25">
          <cell r="G25">
            <v>2537135212</v>
          </cell>
        </row>
        <row r="26">
          <cell r="G26">
            <v>1531633994</v>
          </cell>
        </row>
        <row r="27">
          <cell r="G27">
            <v>12609120215</v>
          </cell>
        </row>
        <row r="28">
          <cell r="G28">
            <v>1051117263</v>
          </cell>
        </row>
        <row r="29">
          <cell r="G29">
            <v>1993019464</v>
          </cell>
        </row>
        <row r="30">
          <cell r="G30">
            <v>20576755128</v>
          </cell>
        </row>
        <row r="31">
          <cell r="G31">
            <v>158732125</v>
          </cell>
        </row>
        <row r="32">
          <cell r="G32">
            <v>1475961722</v>
          </cell>
        </row>
        <row r="33">
          <cell r="G33">
            <v>858485551</v>
          </cell>
        </row>
        <row r="34">
          <cell r="G34">
            <v>1848064914</v>
          </cell>
        </row>
        <row r="35">
          <cell r="G35">
            <v>852935944</v>
          </cell>
        </row>
        <row r="36">
          <cell r="G36">
            <v>3165087185</v>
          </cell>
        </row>
        <row r="37">
          <cell r="G37">
            <v>90161457</v>
          </cell>
        </row>
        <row r="38">
          <cell r="G38">
            <v>5873018027</v>
          </cell>
        </row>
        <row r="39">
          <cell r="G39">
            <v>3966979515</v>
          </cell>
        </row>
        <row r="40">
          <cell r="G40">
            <v>8121690548</v>
          </cell>
        </row>
        <row r="41">
          <cell r="G41">
            <v>24729985227</v>
          </cell>
        </row>
        <row r="42">
          <cell r="G42">
            <v>447784694</v>
          </cell>
        </row>
        <row r="43">
          <cell r="G43">
            <v>16709902965</v>
          </cell>
        </row>
        <row r="44">
          <cell r="G44">
            <v>31896389388</v>
          </cell>
        </row>
        <row r="45">
          <cell r="G45">
            <v>6866983275</v>
          </cell>
        </row>
        <row r="46">
          <cell r="G46">
            <v>7780845256</v>
          </cell>
        </row>
        <row r="47">
          <cell r="G47">
            <v>3526476926</v>
          </cell>
        </row>
        <row r="48">
          <cell r="G48">
            <v>4797458312</v>
          </cell>
        </row>
        <row r="49">
          <cell r="G49">
            <v>27213975894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Y2021"/>
      <sheetName val="Pivot"/>
      <sheetName val="Table"/>
    </sheetNames>
    <sheetDataSet>
      <sheetData sheetId="0"/>
      <sheetData sheetId="1"/>
      <sheetData sheetId="2">
        <row r="3">
          <cell r="C3">
            <v>1.6609999999999999E-3</v>
          </cell>
          <cell r="D3">
            <v>5.5900000000000004E-4</v>
          </cell>
          <cell r="F3">
            <v>6.2000000000000003E-5</v>
          </cell>
          <cell r="G3">
            <v>8.03E-4</v>
          </cell>
          <cell r="H3">
            <v>1.6000000000000001E-3</v>
          </cell>
          <cell r="I3">
            <v>2.2190000000000001E-3</v>
          </cell>
        </row>
        <row r="4">
          <cell r="C4">
            <v>1.6609999999999999E-3</v>
          </cell>
          <cell r="D4">
            <v>1.7930000000000001E-3</v>
          </cell>
          <cell r="F4">
            <v>1.9999999999999999E-6</v>
          </cell>
          <cell r="G4">
            <v>8.12E-4</v>
          </cell>
          <cell r="H4">
            <v>9.0799999999999995E-4</v>
          </cell>
          <cell r="I4">
            <v>9.1299999999999997E-4</v>
          </cell>
        </row>
        <row r="5">
          <cell r="C5">
            <v>1.6609999999999999E-3</v>
          </cell>
          <cell r="E5">
            <v>2.202E-3</v>
          </cell>
          <cell r="F5">
            <v>6.8999999999999997E-5</v>
          </cell>
          <cell r="G5">
            <v>1.771E-3</v>
          </cell>
          <cell r="H5">
            <v>5.9999999999999995E-4</v>
          </cell>
          <cell r="I5">
            <v>5.3899999999999998E-4</v>
          </cell>
        </row>
        <row r="6">
          <cell r="C6">
            <v>1.6609999999999999E-3</v>
          </cell>
          <cell r="D6">
            <v>1.062E-3</v>
          </cell>
          <cell r="F6">
            <v>5.0000000000000002E-5</v>
          </cell>
          <cell r="G6">
            <v>3.1E-4</v>
          </cell>
          <cell r="H6">
            <v>1.3470000000000001E-3</v>
          </cell>
          <cell r="I6">
            <v>2.4109999999999999E-3</v>
          </cell>
        </row>
        <row r="7">
          <cell r="C7">
            <v>1.6609999999999999E-3</v>
          </cell>
          <cell r="E7">
            <v>2.575E-3</v>
          </cell>
          <cell r="F7">
            <v>1.37E-4</v>
          </cell>
          <cell r="G7">
            <v>1.7149999999999999E-3</v>
          </cell>
          <cell r="H7">
            <v>1.024E-3</v>
          </cell>
          <cell r="I7">
            <v>1.315E-3</v>
          </cell>
        </row>
        <row r="8">
          <cell r="C8">
            <v>1.6609999999999999E-3</v>
          </cell>
          <cell r="D8">
            <v>1.859E-3</v>
          </cell>
          <cell r="F8">
            <v>9.9999999999999995E-7</v>
          </cell>
          <cell r="G8">
            <v>6.3400000000000001E-4</v>
          </cell>
          <cell r="I8">
            <v>6.9099999999999999E-4</v>
          </cell>
        </row>
        <row r="9">
          <cell r="C9">
            <v>1.6609999999999999E-3</v>
          </cell>
          <cell r="E9">
            <v>1.738E-3</v>
          </cell>
          <cell r="F9">
            <v>8.7999999999999998E-5</v>
          </cell>
          <cell r="G9">
            <v>5.4000000000000001E-4</v>
          </cell>
          <cell r="H9">
            <v>1.6000000000000001E-3</v>
          </cell>
          <cell r="I9">
            <v>2.0149999999999999E-3</v>
          </cell>
        </row>
        <row r="10">
          <cell r="C10">
            <v>1.6609999999999999E-3</v>
          </cell>
          <cell r="E10">
            <v>1.5280000000000001E-3</v>
          </cell>
          <cell r="F10">
            <v>5.5999999999999999E-5</v>
          </cell>
          <cell r="G10">
            <v>3.5630000000000002E-3</v>
          </cell>
          <cell r="H10">
            <v>1.6720000000000001E-3</v>
          </cell>
          <cell r="I10">
            <v>6.8599999999999998E-4</v>
          </cell>
        </row>
        <row r="11">
          <cell r="C11">
            <v>1.6609999999999999E-3</v>
          </cell>
          <cell r="E11">
            <v>2.1570000000000001E-3</v>
          </cell>
          <cell r="F11">
            <v>1.9000000000000001E-5</v>
          </cell>
          <cell r="G11">
            <v>4.7199999999999998E-4</v>
          </cell>
          <cell r="H11">
            <v>1.6770000000000001E-3</v>
          </cell>
          <cell r="I11">
            <v>2.173E-3</v>
          </cell>
          <cell r="J11">
            <v>6.9999999999999994E-5</v>
          </cell>
        </row>
        <row r="12">
          <cell r="C12">
            <v>1.6609999999999999E-3</v>
          </cell>
          <cell r="E12">
            <v>2.4030000000000002E-3</v>
          </cell>
          <cell r="F12">
            <v>9.0000000000000002E-6</v>
          </cell>
          <cell r="G12">
            <v>5.3899999999999998E-4</v>
          </cell>
          <cell r="H12">
            <v>1.7099999999999999E-3</v>
          </cell>
        </row>
        <row r="13">
          <cell r="C13">
            <v>1.6609999999999999E-3</v>
          </cell>
          <cell r="D13">
            <v>0</v>
          </cell>
          <cell r="E13">
            <v>2.0590000000000001E-3</v>
          </cell>
          <cell r="F13">
            <v>7.1000000000000005E-5</v>
          </cell>
          <cell r="G13">
            <v>1.3879999999999999E-3</v>
          </cell>
          <cell r="H13">
            <v>9.1399999999999999E-4</v>
          </cell>
          <cell r="I13">
            <v>1.1919999999999999E-3</v>
          </cell>
        </row>
        <row r="14">
          <cell r="C14">
            <v>1.6609999999999999E-3</v>
          </cell>
          <cell r="E14">
            <v>1.846E-3</v>
          </cell>
          <cell r="F14">
            <v>1.08E-4</v>
          </cell>
          <cell r="G14">
            <v>1.681E-3</v>
          </cell>
          <cell r="H14">
            <v>9.7799999999999992E-4</v>
          </cell>
          <cell r="I14">
            <v>8.3100000000000003E-4</v>
          </cell>
        </row>
        <row r="15">
          <cell r="C15">
            <v>1.6609999999999999E-3</v>
          </cell>
          <cell r="D15">
            <v>9.8999999999999999E-4</v>
          </cell>
          <cell r="F15">
            <v>5.1999999999999997E-5</v>
          </cell>
          <cell r="G15">
            <v>8.9599999999999999E-4</v>
          </cell>
          <cell r="H15">
            <v>7.1699999999999997E-4</v>
          </cell>
          <cell r="I15">
            <v>7.1900000000000002E-4</v>
          </cell>
        </row>
        <row r="16">
          <cell r="C16">
            <v>1.6609999999999999E-3</v>
          </cell>
          <cell r="D16">
            <v>4.7600000000000002E-4</v>
          </cell>
          <cell r="F16">
            <v>1.4100000000000001E-4</v>
          </cell>
          <cell r="G16">
            <v>1.4859999999999999E-3</v>
          </cell>
          <cell r="H16">
            <v>1.6000000000000001E-3</v>
          </cell>
          <cell r="I16">
            <v>8.0400000000000003E-4</v>
          </cell>
        </row>
        <row r="17">
          <cell r="C17">
            <v>1.6609999999999999E-3</v>
          </cell>
          <cell r="E17">
            <v>2.3E-3</v>
          </cell>
          <cell r="F17">
            <v>2.1999999999999999E-5</v>
          </cell>
          <cell r="G17">
            <v>1.9070000000000001E-3</v>
          </cell>
          <cell r="H17">
            <v>3.3799999999999998E-4</v>
          </cell>
          <cell r="I17">
            <v>1.4E-3</v>
          </cell>
        </row>
        <row r="18">
          <cell r="C18">
            <v>1.6609999999999999E-3</v>
          </cell>
          <cell r="E18">
            <v>1.4829999999999999E-3</v>
          </cell>
          <cell r="F18">
            <v>1.2999999999999999E-5</v>
          </cell>
          <cell r="G18">
            <v>8.5099999999999998E-4</v>
          </cell>
          <cell r="H18">
            <v>8.7200000000000005E-4</v>
          </cell>
        </row>
        <row r="19">
          <cell r="C19">
            <v>1.6609999999999999E-3</v>
          </cell>
          <cell r="E19">
            <v>2.4659999999999999E-3</v>
          </cell>
          <cell r="F19">
            <v>9.0000000000000002E-6</v>
          </cell>
          <cell r="G19">
            <v>1.895E-3</v>
          </cell>
          <cell r="H19">
            <v>7.9900000000000001E-4</v>
          </cell>
        </row>
        <row r="20">
          <cell r="C20">
            <v>1.6609999999999999E-3</v>
          </cell>
          <cell r="E20">
            <v>2.3240000000000001E-3</v>
          </cell>
          <cell r="F20">
            <v>2.5000000000000001E-5</v>
          </cell>
          <cell r="G20">
            <v>2.202E-3</v>
          </cell>
          <cell r="I20">
            <v>3.2039999999999998E-3</v>
          </cell>
        </row>
        <row r="21">
          <cell r="C21">
            <v>1.6609999999999999E-3</v>
          </cell>
          <cell r="E21">
            <v>1.5809999999999999E-3</v>
          </cell>
          <cell r="F21">
            <v>7.6000000000000004E-5</v>
          </cell>
          <cell r="G21">
            <v>1.4300000000000001E-3</v>
          </cell>
          <cell r="H21">
            <v>1.17E-3</v>
          </cell>
          <cell r="I21">
            <v>2.7759999999999998E-3</v>
          </cell>
        </row>
        <row r="22">
          <cell r="C22">
            <v>1.6609999999999999E-3</v>
          </cell>
          <cell r="E22">
            <v>1.415E-3</v>
          </cell>
          <cell r="F22">
            <v>1.8E-5</v>
          </cell>
          <cell r="G22">
            <v>8.7000000000000001E-4</v>
          </cell>
          <cell r="H22">
            <v>1.3489999999999999E-3</v>
          </cell>
          <cell r="I22">
            <v>1.09E-3</v>
          </cell>
        </row>
        <row r="23">
          <cell r="C23">
            <v>1.6609999999999999E-3</v>
          </cell>
          <cell r="E23">
            <v>1.9109999999999999E-3</v>
          </cell>
          <cell r="F23">
            <v>2.3E-5</v>
          </cell>
          <cell r="G23">
            <v>6.0800000000000003E-4</v>
          </cell>
          <cell r="H23">
            <v>1.6799999999999999E-4</v>
          </cell>
          <cell r="I23">
            <v>3.3599999999999998E-4</v>
          </cell>
        </row>
        <row r="24">
          <cell r="C24">
            <v>1.6609999999999999E-3</v>
          </cell>
          <cell r="D24">
            <v>1.2520000000000001E-3</v>
          </cell>
          <cell r="F24">
            <v>3.1000000000000001E-5</v>
          </cell>
          <cell r="G24">
            <v>2.7E-4</v>
          </cell>
          <cell r="H24">
            <v>9.3000000000000005E-4</v>
          </cell>
        </row>
        <row r="25">
          <cell r="C25">
            <v>1.6609999999999999E-3</v>
          </cell>
          <cell r="E25">
            <v>4.0000000000000002E-4</v>
          </cell>
          <cell r="F25">
            <v>6.9999999999999999E-6</v>
          </cell>
          <cell r="G25">
            <v>7.2000000000000002E-5</v>
          </cell>
          <cell r="H25">
            <v>1.6000000000000001E-3</v>
          </cell>
          <cell r="I25">
            <v>1.1440000000000001E-3</v>
          </cell>
        </row>
        <row r="26">
          <cell r="C26">
            <v>1.6609999999999999E-3</v>
          </cell>
          <cell r="D26">
            <v>8.52E-4</v>
          </cell>
          <cell r="F26">
            <v>7.9999999999999996E-6</v>
          </cell>
          <cell r="G26">
            <v>1.4200000000000001E-4</v>
          </cell>
          <cell r="H26">
            <v>8.8699999999999998E-4</v>
          </cell>
          <cell r="I26">
            <v>4.8899999999999996E-4</v>
          </cell>
        </row>
        <row r="27">
          <cell r="C27">
            <v>1.6609999999999999E-3</v>
          </cell>
          <cell r="E27">
            <v>2.1410000000000001E-3</v>
          </cell>
          <cell r="F27">
            <v>1.2E-5</v>
          </cell>
          <cell r="G27">
            <v>2.183E-3</v>
          </cell>
          <cell r="H27">
            <v>1.6000000000000001E-3</v>
          </cell>
        </row>
        <row r="28">
          <cell r="C28">
            <v>1.6609999999999999E-3</v>
          </cell>
          <cell r="E28">
            <v>1.5969999999999999E-3</v>
          </cell>
          <cell r="F28">
            <v>2.5000000000000001E-5</v>
          </cell>
          <cell r="G28">
            <v>1.023E-3</v>
          </cell>
          <cell r="H28">
            <v>1.1999999999999999E-3</v>
          </cell>
          <cell r="I28">
            <v>1.6199999999999999E-3</v>
          </cell>
        </row>
        <row r="29">
          <cell r="C29">
            <v>1.6609999999999999E-3</v>
          </cell>
          <cell r="E29">
            <v>1.3290000000000001E-3</v>
          </cell>
          <cell r="F29">
            <v>1.8E-5</v>
          </cell>
          <cell r="G29">
            <v>2.1679999999999998E-3</v>
          </cell>
          <cell r="H29">
            <v>1.4549999999999999E-3</v>
          </cell>
          <cell r="I29">
            <v>2.5969999999999999E-3</v>
          </cell>
        </row>
        <row r="30">
          <cell r="C30">
            <v>1.6609999999999999E-3</v>
          </cell>
          <cell r="E30">
            <v>1.8029999999999999E-3</v>
          </cell>
          <cell r="F30">
            <v>3.3000000000000003E-5</v>
          </cell>
          <cell r="G30">
            <v>1.178E-3</v>
          </cell>
          <cell r="H30">
            <v>5.9999999999999995E-4</v>
          </cell>
        </row>
        <row r="31">
          <cell r="C31">
            <v>1.6609999999999999E-3</v>
          </cell>
          <cell r="D31">
            <v>1.23E-3</v>
          </cell>
          <cell r="G31">
            <v>1.351E-3</v>
          </cell>
          <cell r="H31">
            <v>2.062E-3</v>
          </cell>
          <cell r="I31">
            <v>1.031E-3</v>
          </cell>
        </row>
        <row r="32">
          <cell r="C32">
            <v>1.6609999999999999E-3</v>
          </cell>
          <cell r="E32">
            <v>1.9940000000000001E-3</v>
          </cell>
          <cell r="F32">
            <v>1.3799999999999999E-4</v>
          </cell>
          <cell r="G32">
            <v>1.353E-3</v>
          </cell>
          <cell r="H32">
            <v>1.6000000000000001E-3</v>
          </cell>
          <cell r="I32">
            <v>2.5500000000000002E-3</v>
          </cell>
        </row>
        <row r="33">
          <cell r="C33">
            <v>1.6609999999999999E-3</v>
          </cell>
          <cell r="E33">
            <v>2.8969999999999998E-3</v>
          </cell>
          <cell r="F33">
            <v>1.74E-4</v>
          </cell>
          <cell r="G33">
            <v>1.936E-3</v>
          </cell>
          <cell r="I33">
            <v>8.5800000000000004E-4</v>
          </cell>
        </row>
        <row r="34">
          <cell r="C34">
            <v>1.6609999999999999E-3</v>
          </cell>
          <cell r="D34">
            <v>2.1210000000000001E-3</v>
          </cell>
          <cell r="F34">
            <v>5.3999999999999998E-5</v>
          </cell>
          <cell r="G34">
            <v>1.552E-3</v>
          </cell>
          <cell r="H34">
            <v>1.6559999999999999E-3</v>
          </cell>
          <cell r="I34">
            <v>1.2019999999999999E-3</v>
          </cell>
        </row>
        <row r="35">
          <cell r="C35">
            <v>1.6609999999999999E-3</v>
          </cell>
          <cell r="E35">
            <v>7.3099999999999999E-4</v>
          </cell>
          <cell r="F35">
            <v>4.6E-5</v>
          </cell>
          <cell r="G35">
            <v>2.0900000000000001E-4</v>
          </cell>
          <cell r="H35">
            <v>1.1000000000000001E-3</v>
          </cell>
          <cell r="I35">
            <v>2.3E-3</v>
          </cell>
        </row>
        <row r="36">
          <cell r="C36">
            <v>1.6609999999999999E-3</v>
          </cell>
          <cell r="E36">
            <v>4.08E-4</v>
          </cell>
          <cell r="F36">
            <v>1.0000000000000001E-5</v>
          </cell>
          <cell r="G36">
            <v>1.08E-3</v>
          </cell>
          <cell r="H36">
            <v>1.3799999999999999E-3</v>
          </cell>
        </row>
        <row r="37">
          <cell r="C37">
            <v>1.6609999999999999E-3</v>
          </cell>
          <cell r="E37">
            <v>8.3100000000000003E-4</v>
          </cell>
          <cell r="F37">
            <v>6.6000000000000005E-5</v>
          </cell>
          <cell r="G37">
            <v>9.1699999999999995E-4</v>
          </cell>
          <cell r="H37">
            <v>7.4799999999999997E-4</v>
          </cell>
          <cell r="I37">
            <v>1.343E-3</v>
          </cell>
        </row>
        <row r="38">
          <cell r="C38">
            <v>1.6609999999999999E-3</v>
          </cell>
          <cell r="E38">
            <v>1.6050000000000001E-3</v>
          </cell>
          <cell r="F38">
            <v>8.8999999999999995E-5</v>
          </cell>
          <cell r="G38">
            <v>6.7500000000000004E-4</v>
          </cell>
          <cell r="H38">
            <v>6.3299999999999999E-4</v>
          </cell>
          <cell r="I38">
            <v>1.46E-4</v>
          </cell>
        </row>
        <row r="39">
          <cell r="C39">
            <v>1.6609999999999999E-3</v>
          </cell>
          <cell r="E39">
            <v>1.3309999999999999E-3</v>
          </cell>
          <cell r="F39">
            <v>1.6000000000000001E-4</v>
          </cell>
          <cell r="G39">
            <v>1.389E-3</v>
          </cell>
          <cell r="H39">
            <v>1.2440000000000001E-3</v>
          </cell>
          <cell r="I39">
            <v>1.8E-3</v>
          </cell>
        </row>
        <row r="40">
          <cell r="C40">
            <v>1.6609999999999999E-3</v>
          </cell>
          <cell r="E40">
            <v>1.7340000000000001E-3</v>
          </cell>
          <cell r="F40">
            <v>9.1000000000000003E-5</v>
          </cell>
          <cell r="G40">
            <v>1.271E-3</v>
          </cell>
          <cell r="H40">
            <v>9.1100000000000003E-4</v>
          </cell>
          <cell r="I40">
            <v>1.3489999999999999E-3</v>
          </cell>
        </row>
        <row r="41">
          <cell r="C41">
            <v>1.6609999999999999E-3</v>
          </cell>
          <cell r="E41">
            <v>1.7099999999999999E-3</v>
          </cell>
          <cell r="F41">
            <v>1.7899999999999999E-4</v>
          </cell>
          <cell r="G41">
            <v>1.676E-3</v>
          </cell>
          <cell r="H41">
            <v>1.2099999999999999E-3</v>
          </cell>
          <cell r="I41">
            <v>1E-3</v>
          </cell>
        </row>
        <row r="42">
          <cell r="C42">
            <v>1.6609999999999999E-3</v>
          </cell>
          <cell r="D42">
            <v>1.34E-3</v>
          </cell>
          <cell r="F42">
            <v>5.1999999999999997E-5</v>
          </cell>
          <cell r="G42">
            <v>5.53E-4</v>
          </cell>
          <cell r="H42">
            <v>1.5479999999999999E-3</v>
          </cell>
          <cell r="I42">
            <v>6.3100000000000005E-4</v>
          </cell>
        </row>
        <row r="43">
          <cell r="C43">
            <v>1.6609999999999999E-3</v>
          </cell>
          <cell r="E43">
            <v>1.3420000000000001E-3</v>
          </cell>
          <cell r="F43">
            <v>8.7000000000000001E-5</v>
          </cell>
          <cell r="G43">
            <v>7.7700000000000002E-4</v>
          </cell>
          <cell r="H43">
            <v>1.6000000000000001E-3</v>
          </cell>
          <cell r="I43">
            <v>1.176E-3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chools.utah.gov/file/36d7b78f-4db0-448f-95b4-7f066833f99c" TargetMode="External"/><Relationship Id="rId1" Type="http://schemas.openxmlformats.org/officeDocument/2006/relationships/hyperlink" Target="https://le.utah.gov/xcode/Title53G/Chapter6/53G-6-S405.html?v=C53G-6-S405_2019051420190514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8"/>
  <sheetViews>
    <sheetView tabSelected="1" workbookViewId="0">
      <selection activeCell="H10" sqref="H10"/>
    </sheetView>
  </sheetViews>
  <sheetFormatPr defaultColWidth="9.15234375" defaultRowHeight="12.45"/>
  <cols>
    <col min="1" max="1" width="9.15234375" style="2"/>
    <col min="2" max="2" width="41.4609375" style="2" customWidth="1"/>
    <col min="3" max="3" width="0" style="2" hidden="1" customWidth="1"/>
    <col min="4" max="4" width="9.15234375" style="2"/>
    <col min="5" max="5" width="15.69140625" style="2" customWidth="1"/>
    <col min="6" max="6" width="16.4609375" style="2" customWidth="1"/>
    <col min="7" max="16384" width="9.15234375" style="2"/>
  </cols>
  <sheetData>
    <row r="1" spans="1:5">
      <c r="A1" s="8" t="s">
        <v>144</v>
      </c>
      <c r="B1" s="8"/>
      <c r="C1" s="4"/>
      <c r="D1" s="4"/>
      <c r="E1" s="4"/>
    </row>
    <row r="2" spans="1:5">
      <c r="A2" s="8" t="s">
        <v>110</v>
      </c>
      <c r="B2" s="8"/>
      <c r="C2" s="8"/>
      <c r="D2" s="8"/>
      <c r="E2" s="8"/>
    </row>
    <row r="3" spans="1:5">
      <c r="A3" s="8" t="s">
        <v>134</v>
      </c>
      <c r="B3" s="8"/>
      <c r="C3" s="4"/>
      <c r="D3" s="4"/>
      <c r="E3" s="4"/>
    </row>
    <row r="4" spans="1:5">
      <c r="A4" s="8" t="s">
        <v>0</v>
      </c>
      <c r="B4" s="8"/>
      <c r="C4" s="4"/>
      <c r="D4" s="4"/>
      <c r="E4" s="4"/>
    </row>
    <row r="5" spans="1:5">
      <c r="A5" s="1" t="s">
        <v>204</v>
      </c>
      <c r="B5" s="8"/>
      <c r="C5" s="4"/>
      <c r="D5" s="4"/>
      <c r="E5" s="4"/>
    </row>
    <row r="6" spans="1:5">
      <c r="A6" s="1"/>
      <c r="B6" s="8"/>
      <c r="C6" s="4"/>
      <c r="D6" s="4"/>
      <c r="E6" s="4"/>
    </row>
    <row r="7" spans="1:5">
      <c r="A7" s="35"/>
      <c r="B7" s="213" t="s">
        <v>236</v>
      </c>
      <c r="C7" s="213"/>
      <c r="D7" s="213"/>
      <c r="E7" s="7" t="s">
        <v>43</v>
      </c>
    </row>
    <row r="8" spans="1:5" ht="12.75" customHeight="1">
      <c r="A8" s="6"/>
      <c r="B8" s="6"/>
      <c r="C8" s="211" t="s">
        <v>2</v>
      </c>
      <c r="D8" s="6"/>
      <c r="E8" s="6"/>
    </row>
    <row r="9" spans="1:5" ht="12.9" thickBot="1">
      <c r="A9" s="36" t="s">
        <v>1</v>
      </c>
      <c r="B9" s="37"/>
      <c r="C9" s="212"/>
      <c r="D9" s="37"/>
      <c r="E9" s="36" t="s">
        <v>96</v>
      </c>
    </row>
    <row r="11" spans="1:5">
      <c r="A11" s="38" t="s">
        <v>9</v>
      </c>
      <c r="B11" s="38"/>
      <c r="C11" s="6"/>
      <c r="D11" s="6"/>
      <c r="E11" s="6"/>
    </row>
    <row r="12" spans="1:5">
      <c r="A12" s="6" t="s">
        <v>3</v>
      </c>
      <c r="B12" s="6"/>
      <c r="C12" s="39">
        <f>VLOOKUP(Districtname,Data,3)</f>
        <v>56172485</v>
      </c>
      <c r="D12" s="6"/>
      <c r="E12" s="33">
        <f>VLOOKUP(Districtname,Data,2)</f>
        <v>673496246</v>
      </c>
    </row>
    <row r="13" spans="1:5">
      <c r="A13" s="6" t="s">
        <v>100</v>
      </c>
      <c r="B13" s="6"/>
      <c r="C13" s="39">
        <f>VLOOKUP(Districtname,Data,3)</f>
        <v>56172485</v>
      </c>
      <c r="D13" s="6"/>
      <c r="E13" s="33">
        <f>VLOOKUP(Districtname,Data,3)</f>
        <v>56172485</v>
      </c>
    </row>
    <row r="14" spans="1:5">
      <c r="A14" s="6" t="s">
        <v>4</v>
      </c>
      <c r="B14" s="6"/>
      <c r="C14" s="39">
        <f>VLOOKUP(Districtname,Data,10)</f>
        <v>148603111</v>
      </c>
      <c r="D14" s="6"/>
      <c r="E14" s="33">
        <f>VLOOKUP(Districtname,Data,6)*-1</f>
        <v>-11147934</v>
      </c>
    </row>
    <row r="15" spans="1:5">
      <c r="A15" s="6" t="s">
        <v>5</v>
      </c>
      <c r="B15" s="6"/>
      <c r="C15" s="39">
        <f>VLOOKUP(Districtname,Data,10)</f>
        <v>148603111</v>
      </c>
      <c r="D15" s="6"/>
      <c r="E15" s="33">
        <f>VLOOKUP(Districtname,Data,7)*-1</f>
        <v>-10075707</v>
      </c>
    </row>
    <row r="16" spans="1:5">
      <c r="A16" s="6" t="s">
        <v>6</v>
      </c>
      <c r="B16" s="6"/>
      <c r="C16" s="39">
        <f>VLOOKUP(Districtname,Data,10)</f>
        <v>148603111</v>
      </c>
      <c r="D16" s="6"/>
      <c r="E16" s="33">
        <f>VLOOKUP(Districtname,Data,8)*-1</f>
        <v>-18248787</v>
      </c>
    </row>
    <row r="17" spans="1:5" ht="12.9" thickBot="1">
      <c r="A17" s="6" t="s">
        <v>7</v>
      </c>
      <c r="B17" s="7" t="s">
        <v>15</v>
      </c>
      <c r="C17" s="40"/>
      <c r="D17" s="6"/>
      <c r="E17" s="41">
        <f>+E12+E13+E14+E15+E16</f>
        <v>690196303</v>
      </c>
    </row>
    <row r="18" spans="1:5" ht="12.9" thickTop="1">
      <c r="A18" s="6"/>
      <c r="B18" s="6"/>
      <c r="C18" s="40"/>
      <c r="D18" s="6"/>
      <c r="E18" s="6"/>
    </row>
    <row r="19" spans="1:5">
      <c r="A19" s="38" t="s">
        <v>8</v>
      </c>
      <c r="B19" s="6"/>
      <c r="C19" s="40"/>
      <c r="D19" s="6"/>
      <c r="E19" s="6"/>
    </row>
    <row r="20" spans="1:5">
      <c r="A20" s="6" t="s">
        <v>233</v>
      </c>
      <c r="B20" s="6"/>
      <c r="C20" s="42"/>
      <c r="D20" s="6"/>
      <c r="E20" s="33">
        <f>VLOOKUP(Districtname,Data,12)</f>
        <v>64615122.348429322</v>
      </c>
    </row>
    <row r="21" spans="1:5">
      <c r="A21" s="6" t="s">
        <v>10</v>
      </c>
      <c r="B21" s="6"/>
      <c r="C21" s="39">
        <f>VLOOKUP(Districtname,Data,3)</f>
        <v>56172485</v>
      </c>
      <c r="D21" s="6"/>
      <c r="E21" s="33">
        <f>VLOOKUP(Districtname,Data,13)</f>
        <v>448753652</v>
      </c>
    </row>
    <row r="22" spans="1:5">
      <c r="A22" s="6" t="s">
        <v>11</v>
      </c>
      <c r="B22" s="6"/>
      <c r="C22" s="39">
        <f>VLOOKUP(Districtname,Data,3)</f>
        <v>56172485</v>
      </c>
      <c r="D22" s="6"/>
      <c r="E22" s="33">
        <f>VLOOKUP(Districtname,Data,14)</f>
        <v>65681879</v>
      </c>
    </row>
    <row r="23" spans="1:5">
      <c r="A23" s="6" t="s">
        <v>12</v>
      </c>
      <c r="B23" s="6"/>
      <c r="C23" s="39">
        <f>VLOOKUP(Districtname,Data,3)</f>
        <v>56172485</v>
      </c>
      <c r="D23" s="6"/>
      <c r="E23" s="33">
        <f>VLOOKUP(Districtname,Data,15)</f>
        <v>786480</v>
      </c>
    </row>
    <row r="24" spans="1:5">
      <c r="A24" s="6" t="s">
        <v>13</v>
      </c>
      <c r="B24" s="6"/>
      <c r="C24" s="39">
        <f>VLOOKUP(Districtname,Data,3)</f>
        <v>56172485</v>
      </c>
      <c r="D24" s="6"/>
      <c r="E24" s="33">
        <f>VLOOKUP(Districtname,Data,16)</f>
        <v>0</v>
      </c>
    </row>
    <row r="25" spans="1:5" ht="12.9" thickBot="1">
      <c r="A25" s="6" t="s">
        <v>14</v>
      </c>
      <c r="B25" s="7" t="s">
        <v>16</v>
      </c>
      <c r="C25" s="6"/>
      <c r="D25" s="6"/>
      <c r="E25" s="41">
        <f>+E20+E21+E22+E23+E24</f>
        <v>579837133.34842932</v>
      </c>
    </row>
    <row r="26" spans="1:5" ht="12.9" thickTop="1">
      <c r="A26" s="6"/>
      <c r="B26" s="6"/>
      <c r="C26" s="6"/>
      <c r="D26" s="6"/>
      <c r="E26" s="25"/>
    </row>
    <row r="27" spans="1:5">
      <c r="A27" s="6" t="s">
        <v>17</v>
      </c>
      <c r="B27" s="7" t="s">
        <v>24</v>
      </c>
      <c r="C27" s="6"/>
      <c r="D27" s="6"/>
      <c r="E27" s="33">
        <f>-E25+E17</f>
        <v>110359169.65157068</v>
      </c>
    </row>
    <row r="28" spans="1:5">
      <c r="A28" s="6"/>
      <c r="B28" s="6"/>
      <c r="C28" s="6"/>
      <c r="D28" s="6"/>
      <c r="E28" s="25"/>
    </row>
    <row r="29" spans="1:5">
      <c r="A29" s="6" t="s">
        <v>18</v>
      </c>
      <c r="B29" s="6" t="s">
        <v>232</v>
      </c>
      <c r="C29" s="6"/>
      <c r="D29" s="6"/>
      <c r="E29" s="33">
        <f>VLOOKUP(Districtname,Data,19)</f>
        <v>82978.694444444438</v>
      </c>
    </row>
    <row r="30" spans="1:5">
      <c r="A30" s="6"/>
      <c r="B30" s="6"/>
      <c r="C30" s="6"/>
      <c r="D30" s="6"/>
      <c r="E30" s="6"/>
    </row>
    <row r="31" spans="1:5">
      <c r="A31" s="6" t="s">
        <v>19</v>
      </c>
      <c r="B31" s="7" t="s">
        <v>21</v>
      </c>
      <c r="C31" s="6"/>
      <c r="D31" s="6"/>
      <c r="E31" s="34">
        <f>IF(E29=0,0,ROUND(E27/E29,2))</f>
        <v>1329.97</v>
      </c>
    </row>
    <row r="32" spans="1:5">
      <c r="A32" s="6"/>
      <c r="B32" s="6"/>
      <c r="C32" s="6"/>
      <c r="D32" s="6"/>
      <c r="E32" s="6"/>
    </row>
    <row r="33" spans="1:5">
      <c r="A33" s="6" t="s">
        <v>20</v>
      </c>
      <c r="B33" s="7" t="s">
        <v>90</v>
      </c>
      <c r="C33" s="6"/>
      <c r="D33" s="6"/>
      <c r="E33" s="34">
        <f>IF(E31&gt;0,ROUND(E31*0.5,2),0)</f>
        <v>664.99</v>
      </c>
    </row>
    <row r="34" spans="1:5">
      <c r="A34" s="6"/>
      <c r="B34" s="6"/>
      <c r="C34" s="6"/>
      <c r="D34" s="6"/>
      <c r="E34" s="6"/>
    </row>
    <row r="35" spans="1:5">
      <c r="A35" s="6" t="s">
        <v>23</v>
      </c>
      <c r="B35" s="6" t="s">
        <v>126</v>
      </c>
      <c r="C35" s="6"/>
      <c r="D35" s="6"/>
      <c r="E35" s="34">
        <v>0</v>
      </c>
    </row>
    <row r="36" spans="1:5">
      <c r="A36" s="6"/>
      <c r="B36" s="6"/>
      <c r="C36" s="6"/>
      <c r="D36" s="6"/>
      <c r="E36" s="6"/>
    </row>
    <row r="37" spans="1:5" ht="12.9" thickBot="1">
      <c r="A37" s="6" t="s">
        <v>22</v>
      </c>
      <c r="B37" s="7" t="s">
        <v>231</v>
      </c>
      <c r="C37" s="6"/>
      <c r="D37" s="6"/>
      <c r="E37" s="43" t="str">
        <f>IF(E35=0,"",ROUND(E33*E35,2))</f>
        <v/>
      </c>
    </row>
    <row r="38" spans="1:5" ht="12.9" thickTop="1">
      <c r="A38" s="6"/>
    </row>
    <row r="39" spans="1:5">
      <c r="A39" s="6" t="s">
        <v>25</v>
      </c>
    </row>
    <row r="40" spans="1:5">
      <c r="A40" s="6" t="s">
        <v>127</v>
      </c>
    </row>
    <row r="41" spans="1:5">
      <c r="A41" s="6" t="s">
        <v>128</v>
      </c>
    </row>
    <row r="42" spans="1:5">
      <c r="A42" s="6"/>
    </row>
    <row r="43" spans="1:5">
      <c r="A43" s="6" t="s">
        <v>125</v>
      </c>
    </row>
    <row r="44" spans="1:5">
      <c r="A44" s="6" t="s">
        <v>235</v>
      </c>
    </row>
    <row r="46" spans="1:5" ht="15.45">
      <c r="A46" s="202" t="s">
        <v>234</v>
      </c>
    </row>
    <row r="47" spans="1:5">
      <c r="A47" s="210" t="s">
        <v>143</v>
      </c>
    </row>
    <row r="48" spans="1:5">
      <c r="A48" s="210" t="s">
        <v>111</v>
      </c>
    </row>
  </sheetData>
  <mergeCells count="2">
    <mergeCell ref="C8:C9"/>
    <mergeCell ref="B7:D7"/>
  </mergeCells>
  <phoneticPr fontId="0" type="noConversion"/>
  <hyperlinks>
    <hyperlink ref="A47" r:id="rId1" xr:uid="{D9486B37-5C8B-4D54-98BF-1FA061274B99}"/>
    <hyperlink ref="A48" r:id="rId2" xr:uid="{A36F0F9B-80DD-44CD-B613-6543A10A171C}"/>
  </hyperlinks>
  <pageMargins left="0.75" right="0.75" top="1" bottom="1" header="0.5" footer="0.5"/>
  <pageSetup scale="90" orientation="portrait" horizontalDpi="300" verticalDpi="300" r:id="rId3"/>
  <headerFooter alignWithMargins="0">
    <oddFooter>&amp;L&amp;8&amp;D&amp;R&amp;8I:\Data\Excel\Cathy\&amp;F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6"/>
  <sheetViews>
    <sheetView workbookViewId="0">
      <selection activeCell="H10" sqref="H10"/>
    </sheetView>
  </sheetViews>
  <sheetFormatPr defaultColWidth="9.15234375" defaultRowHeight="12.45"/>
  <cols>
    <col min="1" max="1" width="17.23046875" style="2" customWidth="1"/>
    <col min="2" max="2" width="14.69140625" style="2" customWidth="1"/>
    <col min="3" max="3" width="13.84375" style="2" customWidth="1"/>
    <col min="4" max="4" width="12.23046875" style="2" customWidth="1"/>
    <col min="5" max="16384" width="9.15234375" style="2"/>
  </cols>
  <sheetData>
    <row r="1" spans="1:4">
      <c r="A1" s="1" t="s">
        <v>144</v>
      </c>
      <c r="B1" s="4"/>
      <c r="C1" s="4"/>
      <c r="D1" s="4"/>
    </row>
    <row r="2" spans="1:4">
      <c r="A2" s="1" t="s">
        <v>110</v>
      </c>
      <c r="B2" s="4"/>
      <c r="C2" s="4"/>
      <c r="D2" s="4"/>
    </row>
    <row r="3" spans="1:4">
      <c r="A3" s="1" t="s">
        <v>86</v>
      </c>
      <c r="B3" s="4"/>
      <c r="C3" s="4"/>
      <c r="D3" s="4"/>
    </row>
    <row r="4" spans="1:4">
      <c r="A4" s="1" t="s">
        <v>230</v>
      </c>
      <c r="B4" s="4"/>
      <c r="C4" s="4"/>
      <c r="D4" s="4"/>
    </row>
    <row r="6" spans="1:4">
      <c r="A6" s="6"/>
      <c r="B6" s="5" t="s">
        <v>83</v>
      </c>
      <c r="C6" s="5" t="s">
        <v>89</v>
      </c>
      <c r="D6" s="3"/>
    </row>
    <row r="7" spans="1:4" ht="12.9" thickBot="1">
      <c r="A7" s="9" t="s">
        <v>87</v>
      </c>
      <c r="B7" s="9" t="s">
        <v>88</v>
      </c>
      <c r="C7" s="9" t="s">
        <v>85</v>
      </c>
      <c r="D7" s="9" t="s">
        <v>84</v>
      </c>
    </row>
    <row r="8" spans="1:4">
      <c r="A8" s="10" t="s">
        <v>43</v>
      </c>
      <c r="B8" s="16">
        <f>INDEX('AFR-APR'!$W$5:$W$45,MATCH('Summary Sheet'!A8,'AFR-APR'!$C$5:$C$45,0))</f>
        <v>664.98</v>
      </c>
      <c r="C8" s="6"/>
      <c r="D8" s="17">
        <f>+B8*C8</f>
        <v>0</v>
      </c>
    </row>
    <row r="9" spans="1:4">
      <c r="A9" s="11" t="s">
        <v>44</v>
      </c>
      <c r="B9" s="16">
        <f>INDEX('AFR-APR'!$W$5:$W$45,MATCH('Summary Sheet'!A9,'AFR-APR'!$C$5:$C$45,0))</f>
        <v>1309.68</v>
      </c>
      <c r="C9" s="6"/>
      <c r="D9" s="18">
        <f t="shared" ref="D9:D48" si="0">+B9*C9</f>
        <v>0</v>
      </c>
    </row>
    <row r="10" spans="1:4">
      <c r="A10" s="11" t="s">
        <v>45</v>
      </c>
      <c r="B10" s="16">
        <f>INDEX('AFR-APR'!$W$5:$W$45,MATCH('Summary Sheet'!A10,'AFR-APR'!$C$5:$C$45,0))</f>
        <v>1955.26</v>
      </c>
      <c r="C10" s="6"/>
      <c r="D10" s="18">
        <f t="shared" si="0"/>
        <v>0</v>
      </c>
    </row>
    <row r="11" spans="1:4" ht="13" customHeight="1">
      <c r="A11" s="11" t="s">
        <v>46</v>
      </c>
      <c r="B11" s="16">
        <f>INDEX('AFR-APR'!$W$5:$W$45,MATCH('Summary Sheet'!A11,'AFR-APR'!$C$5:$C$45,0))</f>
        <v>531.05999999999995</v>
      </c>
      <c r="C11" s="6"/>
      <c r="D11" s="18">
        <f t="shared" si="0"/>
        <v>0</v>
      </c>
    </row>
    <row r="12" spans="1:4">
      <c r="A12" s="12" t="s">
        <v>47</v>
      </c>
      <c r="B12" s="16">
        <f>INDEX('AFR-APR'!$W$5:$W$45,MATCH('Summary Sheet'!A12,'AFR-APR'!$C$5:$C$45,0))</f>
        <v>3498.76</v>
      </c>
      <c r="C12" s="19"/>
      <c r="D12" s="20">
        <f t="shared" si="0"/>
        <v>0</v>
      </c>
    </row>
    <row r="13" spans="1:4">
      <c r="A13" s="11" t="s">
        <v>48</v>
      </c>
      <c r="B13" s="16">
        <f>INDEX('AFR-APR'!$W$5:$W$45,MATCH('Summary Sheet'!A13,'AFR-APR'!$C$5:$C$45,0))</f>
        <v>2413.6</v>
      </c>
      <c r="C13" s="6"/>
      <c r="D13" s="18">
        <f t="shared" si="0"/>
        <v>0</v>
      </c>
    </row>
    <row r="14" spans="1:4">
      <c r="A14" s="11" t="s">
        <v>49</v>
      </c>
      <c r="B14" s="16">
        <f>INDEX('AFR-APR'!$W$5:$W$45,MATCH('Summary Sheet'!A14,'AFR-APR'!$C$5:$C$45,0))</f>
        <v>791.11</v>
      </c>
      <c r="C14" s="6"/>
      <c r="D14" s="18">
        <f t="shared" si="0"/>
        <v>0</v>
      </c>
    </row>
    <row r="15" spans="1:4">
      <c r="A15" s="11" t="s">
        <v>50</v>
      </c>
      <c r="B15" s="16">
        <f>INDEX('AFR-APR'!$W$5:$W$45,MATCH('Summary Sheet'!A15,'AFR-APR'!$C$5:$C$45,0))</f>
        <v>1644.94</v>
      </c>
      <c r="C15" s="6"/>
      <c r="D15" s="18">
        <f t="shared" si="0"/>
        <v>0</v>
      </c>
    </row>
    <row r="16" spans="1:4">
      <c r="A16" s="11" t="s">
        <v>51</v>
      </c>
      <c r="B16" s="16">
        <f>INDEX('AFR-APR'!$W$5:$W$45,MATCH('Summary Sheet'!A16,'AFR-APR'!$C$5:$C$45,0))</f>
        <v>2750.29</v>
      </c>
      <c r="C16" s="6"/>
      <c r="D16" s="18">
        <f t="shared" si="0"/>
        <v>0</v>
      </c>
    </row>
    <row r="17" spans="1:4">
      <c r="A17" s="12" t="s">
        <v>52</v>
      </c>
      <c r="B17" s="16">
        <f>INDEX('AFR-APR'!$W$5:$W$45,MATCH('Summary Sheet'!A17,'AFR-APR'!$C$5:$C$45,0))</f>
        <v>74.8</v>
      </c>
      <c r="C17" s="19"/>
      <c r="D17" s="20">
        <f t="shared" si="0"/>
        <v>0</v>
      </c>
    </row>
    <row r="18" spans="1:4">
      <c r="A18" s="11" t="s">
        <v>53</v>
      </c>
      <c r="B18" s="16">
        <f>INDEX('AFR-APR'!$W$5:$W$45,MATCH('Summary Sheet'!A18,'AFR-APR'!$C$5:$C$45,0))</f>
        <v>2783.97</v>
      </c>
      <c r="C18" s="6"/>
      <c r="D18" s="18">
        <f t="shared" si="0"/>
        <v>0</v>
      </c>
    </row>
    <row r="19" spans="1:4">
      <c r="A19" s="11" t="s">
        <v>54</v>
      </c>
      <c r="B19" s="16">
        <f>INDEX('AFR-APR'!$W$5:$W$45,MATCH('Summary Sheet'!A19,'AFR-APR'!$C$5:$C$45,0))</f>
        <v>1160.68</v>
      </c>
      <c r="C19" s="6"/>
      <c r="D19" s="18">
        <f t="shared" si="0"/>
        <v>0</v>
      </c>
    </row>
    <row r="20" spans="1:4">
      <c r="A20" s="11" t="s">
        <v>55</v>
      </c>
      <c r="B20" s="16">
        <f>INDEX('AFR-APR'!$W$5:$W$45,MATCH('Summary Sheet'!A20,'AFR-APR'!$C$5:$C$45,0))</f>
        <v>461.3</v>
      </c>
      <c r="C20" s="6"/>
      <c r="D20" s="18">
        <f t="shared" si="0"/>
        <v>0</v>
      </c>
    </row>
    <row r="21" spans="1:4">
      <c r="A21" s="11" t="s">
        <v>56</v>
      </c>
      <c r="B21" s="16">
        <f>INDEX('AFR-APR'!$W$5:$W$45,MATCH('Summary Sheet'!A21,'AFR-APR'!$C$5:$C$45,0))</f>
        <v>814.23</v>
      </c>
      <c r="C21" s="6"/>
      <c r="D21" s="18">
        <f t="shared" si="0"/>
        <v>0</v>
      </c>
    </row>
    <row r="22" spans="1:4">
      <c r="A22" s="12" t="s">
        <v>57</v>
      </c>
      <c r="B22" s="16">
        <f>INDEX('AFR-APR'!$W$5:$W$45,MATCH('Summary Sheet'!A22,'AFR-APR'!$C$5:$C$45,0))</f>
        <v>1320.2</v>
      </c>
      <c r="C22" s="19"/>
      <c r="D22" s="20">
        <f t="shared" si="0"/>
        <v>0</v>
      </c>
    </row>
    <row r="23" spans="1:4">
      <c r="A23" s="11" t="s">
        <v>58</v>
      </c>
      <c r="B23" s="16">
        <f>INDEX('AFR-APR'!$W$5:$W$45,MATCH('Summary Sheet'!A23,'AFR-APR'!$C$5:$C$45,0))</f>
        <v>1226.6400000000001</v>
      </c>
      <c r="C23" s="6"/>
      <c r="D23" s="18">
        <f t="shared" si="0"/>
        <v>0</v>
      </c>
    </row>
    <row r="24" spans="1:4">
      <c r="A24" s="11" t="s">
        <v>59</v>
      </c>
      <c r="B24" s="16">
        <f>INDEX('AFR-APR'!$W$5:$W$45,MATCH('Summary Sheet'!A24,'AFR-APR'!$C$5:$C$45,0))</f>
        <v>2180.0500000000002</v>
      </c>
      <c r="C24" s="6"/>
      <c r="D24" s="18">
        <f t="shared" si="0"/>
        <v>0</v>
      </c>
    </row>
    <row r="25" spans="1:4">
      <c r="A25" s="11" t="s">
        <v>60</v>
      </c>
      <c r="B25" s="16">
        <f>INDEX('AFR-APR'!$W$5:$W$45,MATCH('Summary Sheet'!A25,'AFR-APR'!$C$5:$C$45,0))</f>
        <v>572.95000000000005</v>
      </c>
      <c r="C25" s="6"/>
      <c r="D25" s="18">
        <f t="shared" si="0"/>
        <v>0</v>
      </c>
    </row>
    <row r="26" spans="1:4">
      <c r="A26" s="11" t="s">
        <v>61</v>
      </c>
      <c r="B26" s="16">
        <f>INDEX('AFR-APR'!$W$5:$W$45,MATCH('Summary Sheet'!A26,'AFR-APR'!$C$5:$C$45,0))</f>
        <v>410.97</v>
      </c>
      <c r="C26" s="6"/>
      <c r="D26" s="18">
        <f t="shared" si="0"/>
        <v>0</v>
      </c>
    </row>
    <row r="27" spans="1:4">
      <c r="A27" s="12" t="s">
        <v>62</v>
      </c>
      <c r="B27" s="16">
        <f>INDEX('AFR-APR'!$W$5:$W$45,MATCH('Summary Sheet'!A27,'AFR-APR'!$C$5:$C$45,0))</f>
        <v>664.16</v>
      </c>
      <c r="C27" s="19"/>
      <c r="D27" s="20">
        <f t="shared" si="0"/>
        <v>0</v>
      </c>
    </row>
    <row r="28" spans="1:4">
      <c r="A28" s="11" t="s">
        <v>63</v>
      </c>
      <c r="B28" s="16">
        <f>INDEX('AFR-APR'!$W$5:$W$45,MATCH('Summary Sheet'!A28,'AFR-APR'!$C$5:$C$45,0))</f>
        <v>2179.54</v>
      </c>
      <c r="C28" s="6"/>
      <c r="D28" s="18">
        <f t="shared" si="0"/>
        <v>0</v>
      </c>
    </row>
    <row r="29" spans="1:4">
      <c r="A29" s="11" t="s">
        <v>64</v>
      </c>
      <c r="B29" s="16">
        <f>INDEX('AFR-APR'!$W$5:$W$45,MATCH('Summary Sheet'!A29,'AFR-APR'!$C$5:$C$45,0))</f>
        <v>5098.26</v>
      </c>
      <c r="C29" s="6"/>
      <c r="D29" s="18">
        <f t="shared" si="0"/>
        <v>0</v>
      </c>
    </row>
    <row r="30" spans="1:4">
      <c r="A30" s="11" t="s">
        <v>65</v>
      </c>
      <c r="B30" s="16">
        <f>INDEX('AFR-APR'!$W$5:$W$45,MATCH('Summary Sheet'!A30,'AFR-APR'!$C$5:$C$45,0))</f>
        <v>0</v>
      </c>
      <c r="C30" s="6"/>
      <c r="D30" s="18">
        <f t="shared" si="0"/>
        <v>0</v>
      </c>
    </row>
    <row r="31" spans="1:4">
      <c r="A31" s="11" t="s">
        <v>66</v>
      </c>
      <c r="B31" s="16">
        <f>INDEX('AFR-APR'!$W$5:$W$45,MATCH('Summary Sheet'!A31,'AFR-APR'!$C$5:$C$45,0))</f>
        <v>2571.54</v>
      </c>
      <c r="C31" s="6"/>
      <c r="D31" s="18">
        <f t="shared" si="0"/>
        <v>0</v>
      </c>
    </row>
    <row r="32" spans="1:4">
      <c r="A32" s="12" t="s">
        <v>67</v>
      </c>
      <c r="B32" s="16">
        <f>INDEX('AFR-APR'!$W$5:$W$45,MATCH('Summary Sheet'!A32,'AFR-APR'!$C$5:$C$45,0))</f>
        <v>0</v>
      </c>
      <c r="C32" s="19"/>
      <c r="D32" s="20">
        <f t="shared" si="0"/>
        <v>0</v>
      </c>
    </row>
    <row r="33" spans="1:4">
      <c r="A33" s="11" t="s">
        <v>68</v>
      </c>
      <c r="B33" s="16">
        <f>INDEX('AFR-APR'!$W$5:$W$45,MATCH('Summary Sheet'!A33,'AFR-APR'!$C$5:$C$45,0))</f>
        <v>0</v>
      </c>
      <c r="C33" s="6"/>
      <c r="D33" s="18">
        <f t="shared" si="0"/>
        <v>0</v>
      </c>
    </row>
    <row r="34" spans="1:4">
      <c r="A34" s="11" t="s">
        <v>69</v>
      </c>
      <c r="B34" s="16">
        <f>INDEX('AFR-APR'!$W$5:$W$45,MATCH('Summary Sheet'!A34,'AFR-APR'!$C$5:$C$45,0))</f>
        <v>0</v>
      </c>
      <c r="C34" s="6"/>
      <c r="D34" s="18">
        <f t="shared" si="0"/>
        <v>0</v>
      </c>
    </row>
    <row r="35" spans="1:4">
      <c r="A35" s="11" t="s">
        <v>70</v>
      </c>
      <c r="B35" s="16">
        <f>INDEX('AFR-APR'!$W$5:$W$45,MATCH('Summary Sheet'!A35,'AFR-APR'!$C$5:$C$45,0))</f>
        <v>2527.63</v>
      </c>
      <c r="C35" s="6"/>
      <c r="D35" s="18">
        <f t="shared" si="0"/>
        <v>0</v>
      </c>
    </row>
    <row r="36" spans="1:4">
      <c r="A36" s="11" t="s">
        <v>71</v>
      </c>
      <c r="B36" s="16">
        <f>INDEX('AFR-APR'!$W$5:$W$45,MATCH('Summary Sheet'!A36,'AFR-APR'!$C$5:$C$45,0))</f>
        <v>0</v>
      </c>
      <c r="C36" s="6"/>
      <c r="D36" s="18">
        <f t="shared" si="0"/>
        <v>0</v>
      </c>
    </row>
    <row r="37" spans="1:4">
      <c r="A37" s="12" t="s">
        <v>72</v>
      </c>
      <c r="B37" s="16">
        <f>INDEX('AFR-APR'!$W$5:$W$45,MATCH('Summary Sheet'!A37,'AFR-APR'!$C$5:$C$45,0))</f>
        <v>378.93</v>
      </c>
      <c r="C37" s="19"/>
      <c r="D37" s="20">
        <f t="shared" si="0"/>
        <v>0</v>
      </c>
    </row>
    <row r="38" spans="1:4">
      <c r="A38" s="11" t="s">
        <v>109</v>
      </c>
      <c r="B38" s="16">
        <f>INDEX('AFR-APR'!$W$5:$W$45,MATCH('Summary Sheet'!A38,'AFR-APR'!$C$5:$C$45,0))</f>
        <v>1356.36</v>
      </c>
      <c r="C38" s="6"/>
      <c r="D38" s="18">
        <f t="shared" si="0"/>
        <v>0</v>
      </c>
    </row>
    <row r="39" spans="1:4">
      <c r="A39" s="11" t="s">
        <v>73</v>
      </c>
      <c r="B39" s="16">
        <f>INDEX('AFR-APR'!$W$5:$W$45,MATCH('Summary Sheet'!A39,'AFR-APR'!$C$5:$C$45,0))</f>
        <v>2009.59</v>
      </c>
      <c r="C39" s="6"/>
      <c r="D39" s="18">
        <f t="shared" si="0"/>
        <v>0</v>
      </c>
    </row>
    <row r="40" spans="1:4">
      <c r="A40" s="11" t="s">
        <v>74</v>
      </c>
      <c r="B40" s="16">
        <f>INDEX('AFR-APR'!$W$5:$W$45,MATCH('Summary Sheet'!A40,'AFR-APR'!$C$5:$C$45,0))</f>
        <v>506.15</v>
      </c>
      <c r="C40" s="6"/>
      <c r="D40" s="18">
        <f t="shared" si="0"/>
        <v>0</v>
      </c>
    </row>
    <row r="41" spans="1:4">
      <c r="A41" s="11" t="s">
        <v>75</v>
      </c>
      <c r="B41" s="16">
        <f>INDEX('AFR-APR'!$W$5:$W$45,MATCH('Summary Sheet'!A41,'AFR-APR'!$C$5:$C$45,0))</f>
        <v>0</v>
      </c>
      <c r="C41" s="6"/>
      <c r="D41" s="18">
        <f t="shared" si="0"/>
        <v>0</v>
      </c>
    </row>
    <row r="42" spans="1:4">
      <c r="A42" s="12" t="s">
        <v>76</v>
      </c>
      <c r="B42" s="16">
        <f>INDEX('AFR-APR'!$W$5:$W$45,MATCH('Summary Sheet'!A42,'AFR-APR'!$C$5:$C$45,0))</f>
        <v>668.84</v>
      </c>
      <c r="C42" s="19"/>
      <c r="D42" s="20">
        <f t="shared" si="0"/>
        <v>0</v>
      </c>
    </row>
    <row r="43" spans="1:4">
      <c r="A43" s="11" t="s">
        <v>77</v>
      </c>
      <c r="B43" s="16">
        <f>INDEX('AFR-APR'!$W$5:$W$45,MATCH('Summary Sheet'!A43,'AFR-APR'!$C$5:$C$45,0))</f>
        <v>2301.35</v>
      </c>
      <c r="C43" s="6"/>
      <c r="D43" s="18">
        <f t="shared" si="0"/>
        <v>0</v>
      </c>
    </row>
    <row r="44" spans="1:4">
      <c r="A44" s="11" t="s">
        <v>78</v>
      </c>
      <c r="B44" s="16">
        <f>INDEX('AFR-APR'!$W$5:$W$45,MATCH('Summary Sheet'!A44,'AFR-APR'!$C$5:$C$45,0))</f>
        <v>1419.56</v>
      </c>
      <c r="C44" s="6"/>
      <c r="D44" s="18">
        <f t="shared" si="0"/>
        <v>0</v>
      </c>
    </row>
    <row r="45" spans="1:4">
      <c r="A45" s="11" t="s">
        <v>79</v>
      </c>
      <c r="B45" s="16">
        <f>INDEX('AFR-APR'!$W$5:$W$45,MATCH('Summary Sheet'!A45,'AFR-APR'!$C$5:$C$45,0))</f>
        <v>1223.74</v>
      </c>
      <c r="C45" s="6"/>
      <c r="D45" s="18">
        <f t="shared" si="0"/>
        <v>0</v>
      </c>
    </row>
    <row r="46" spans="1:4">
      <c r="A46" s="11" t="s">
        <v>80</v>
      </c>
      <c r="B46" s="16">
        <f>INDEX('AFR-APR'!$W$5:$W$45,MATCH('Summary Sheet'!A46,'AFR-APR'!$C$5:$C$45,0))</f>
        <v>1360.4</v>
      </c>
      <c r="C46" s="6"/>
      <c r="D46" s="18">
        <f t="shared" si="0"/>
        <v>0</v>
      </c>
    </row>
    <row r="47" spans="1:4">
      <c r="A47" s="12" t="s">
        <v>81</v>
      </c>
      <c r="B47" s="16">
        <f>INDEX('AFR-APR'!$W$5:$W$45,MATCH('Summary Sheet'!A47,'AFR-APR'!$C$5:$C$45,0))</f>
        <v>1571.16</v>
      </c>
      <c r="C47" s="19"/>
      <c r="D47" s="20">
        <f t="shared" si="0"/>
        <v>0</v>
      </c>
    </row>
    <row r="48" spans="1:4">
      <c r="A48" s="11" t="s">
        <v>112</v>
      </c>
      <c r="B48" s="16">
        <f>INDEX('AFR-APR'!$W$5:$W$45,MATCH('Summary Sheet'!A48,'AFR-APR'!$C$5:$C$45,0))</f>
        <v>1553.99</v>
      </c>
      <c r="C48" s="21"/>
      <c r="D48" s="22">
        <f t="shared" si="0"/>
        <v>0</v>
      </c>
    </row>
    <row r="49" spans="1:4" ht="12.9" thickBot="1">
      <c r="A49" s="13"/>
      <c r="B49" s="23"/>
      <c r="C49" s="23"/>
      <c r="D49" s="24">
        <f>SUM(D8:D47)</f>
        <v>0</v>
      </c>
    </row>
    <row r="50" spans="1:4" ht="12.9" thickTop="1">
      <c r="A50" s="7" t="s">
        <v>102</v>
      </c>
      <c r="B50" s="16">
        <f>SUM(B8:B48)/41</f>
        <v>1316.0163414634144</v>
      </c>
      <c r="C50" s="6"/>
      <c r="D50" s="6"/>
    </row>
    <row r="51" spans="1:4">
      <c r="A51" s="6"/>
      <c r="B51" s="6"/>
      <c r="C51" s="6"/>
      <c r="D51" s="6"/>
    </row>
    <row r="52" spans="1:4">
      <c r="A52" s="6"/>
      <c r="B52" s="16"/>
      <c r="C52" s="6"/>
      <c r="D52" s="6"/>
    </row>
    <row r="53" spans="1:4">
      <c r="A53" s="6"/>
      <c r="B53" s="6"/>
      <c r="C53" s="6"/>
      <c r="D53" s="6"/>
    </row>
    <row r="54" spans="1:4">
      <c r="A54" s="6"/>
      <c r="B54" s="6"/>
      <c r="C54" s="6"/>
      <c r="D54" s="6"/>
    </row>
    <row r="55" spans="1:4">
      <c r="A55" s="6"/>
      <c r="B55" s="6"/>
      <c r="C55" s="6"/>
      <c r="D55" s="6"/>
    </row>
    <row r="56" spans="1:4">
      <c r="A56" s="6"/>
      <c r="B56" s="6"/>
      <c r="C56" s="6"/>
      <c r="D56" s="6"/>
    </row>
  </sheetData>
  <phoneticPr fontId="0" type="noConversion"/>
  <printOptions horizontalCentered="1" verticalCentered="1"/>
  <pageMargins left="0.43" right="0.38" top="0.17" bottom="0.17" header="0.17" footer="0.17"/>
  <pageSetup scale="115" orientation="portrait" horizontalDpi="300" verticalDpi="300" r:id="rId1"/>
  <headerFooter alignWithMargins="0">
    <oddFooter>&amp;L&amp;D&amp;RI:\Data\Excel\Cathy\&amp;F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95EE1-77DD-4AC5-9BAB-8B272AC0387F}">
  <dimension ref="A1:AA49"/>
  <sheetViews>
    <sheetView zoomScale="70" zoomScaleNormal="70" workbookViewId="0">
      <pane xSplit="3" ySplit="4" topLeftCell="O18" activePane="bottomRight" state="frozen"/>
      <selection pane="topRight" activeCell="D1" sqref="D1"/>
      <selection pane="bottomLeft" activeCell="A5" sqref="A5"/>
      <selection pane="bottomRight" activeCell="U41" sqref="U41"/>
    </sheetView>
  </sheetViews>
  <sheetFormatPr defaultRowHeight="14.6"/>
  <cols>
    <col min="1" max="1" width="3.84375" style="185" bestFit="1" customWidth="1"/>
    <col min="2" max="2" width="2.84375" style="185" bestFit="1" customWidth="1"/>
    <col min="3" max="3" width="11.23046875" style="185" bestFit="1" customWidth="1"/>
    <col min="4" max="23" width="14.61328125" style="141" customWidth="1"/>
    <col min="24" max="16384" width="9.23046875" style="141"/>
  </cols>
  <sheetData>
    <row r="1" spans="1:27">
      <c r="A1" s="138"/>
      <c r="B1" s="138"/>
      <c r="C1" s="138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40"/>
      <c r="Y1" s="140"/>
      <c r="Z1" s="140"/>
    </row>
    <row r="2" spans="1:27">
      <c r="A2" s="142"/>
      <c r="B2" s="143"/>
      <c r="C2" s="143"/>
      <c r="D2" s="144">
        <v>1</v>
      </c>
      <c r="E2" s="145">
        <v>2</v>
      </c>
      <c r="F2" s="145">
        <v>3</v>
      </c>
      <c r="G2" s="145">
        <v>4</v>
      </c>
      <c r="H2" s="145">
        <v>5</v>
      </c>
      <c r="I2" s="145">
        <v>6</v>
      </c>
      <c r="J2" s="145">
        <v>7</v>
      </c>
      <c r="K2" s="145">
        <v>8</v>
      </c>
      <c r="L2" s="145">
        <v>9</v>
      </c>
      <c r="M2" s="145">
        <v>10</v>
      </c>
      <c r="N2" s="145">
        <v>11</v>
      </c>
      <c r="O2" s="145">
        <v>12</v>
      </c>
      <c r="P2" s="145">
        <v>13</v>
      </c>
      <c r="Q2" s="145">
        <v>14</v>
      </c>
      <c r="R2" s="145">
        <v>15</v>
      </c>
      <c r="S2" s="145">
        <v>16</v>
      </c>
      <c r="T2" s="145">
        <v>17</v>
      </c>
      <c r="U2" s="145">
        <v>18</v>
      </c>
      <c r="V2" s="145">
        <v>19</v>
      </c>
      <c r="W2" s="146">
        <v>20</v>
      </c>
      <c r="X2" s="139"/>
      <c r="Y2" s="139"/>
      <c r="Z2" s="139"/>
    </row>
    <row r="3" spans="1:27" s="153" customFormat="1" ht="57.9">
      <c r="A3" s="147"/>
      <c r="B3" s="148"/>
      <c r="C3" s="148"/>
      <c r="D3" s="149" t="s">
        <v>211</v>
      </c>
      <c r="E3" s="150" t="s">
        <v>200</v>
      </c>
      <c r="F3" s="150" t="s">
        <v>201</v>
      </c>
      <c r="G3" s="150" t="s">
        <v>202</v>
      </c>
      <c r="H3" s="150" t="s">
        <v>212</v>
      </c>
      <c r="I3" s="150" t="s">
        <v>213</v>
      </c>
      <c r="J3" s="150" t="s">
        <v>214</v>
      </c>
      <c r="K3" s="150" t="s">
        <v>135</v>
      </c>
      <c r="L3" s="150" t="s">
        <v>136</v>
      </c>
      <c r="M3" s="150" t="s">
        <v>229</v>
      </c>
      <c r="N3" s="150" t="s">
        <v>137</v>
      </c>
      <c r="O3" s="150" t="s">
        <v>139</v>
      </c>
      <c r="P3" s="150" t="s">
        <v>215</v>
      </c>
      <c r="Q3" s="150" t="s">
        <v>138</v>
      </c>
      <c r="R3" s="150" t="s">
        <v>140</v>
      </c>
      <c r="S3" s="150" t="s">
        <v>141</v>
      </c>
      <c r="T3" s="150" t="s">
        <v>142</v>
      </c>
      <c r="U3" s="150" t="s">
        <v>216</v>
      </c>
      <c r="V3" s="150" t="s">
        <v>134</v>
      </c>
      <c r="W3" s="151">
        <v>0.5</v>
      </c>
      <c r="X3" s="152"/>
      <c r="Y3" s="152"/>
      <c r="Z3" s="152"/>
    </row>
    <row r="4" spans="1:27">
      <c r="A4" s="154" t="s">
        <v>203</v>
      </c>
      <c r="B4" s="155"/>
      <c r="C4" s="156" t="s">
        <v>26</v>
      </c>
      <c r="D4" s="157" t="s">
        <v>27</v>
      </c>
      <c r="E4" s="158" t="s">
        <v>28</v>
      </c>
      <c r="F4" s="158" t="s">
        <v>97</v>
      </c>
      <c r="G4" s="158" t="s">
        <v>98</v>
      </c>
      <c r="H4" s="158" t="s">
        <v>29</v>
      </c>
      <c r="I4" s="158" t="s">
        <v>30</v>
      </c>
      <c r="J4" s="158" t="s">
        <v>31</v>
      </c>
      <c r="K4" s="158" t="s">
        <v>32</v>
      </c>
      <c r="L4" s="158"/>
      <c r="M4" s="158"/>
      <c r="N4" s="158" t="s">
        <v>33</v>
      </c>
      <c r="O4" s="158" t="s">
        <v>34</v>
      </c>
      <c r="P4" s="158" t="s">
        <v>35</v>
      </c>
      <c r="Q4" s="158" t="s">
        <v>36</v>
      </c>
      <c r="R4" s="158" t="s">
        <v>37</v>
      </c>
      <c r="S4" s="158" t="s">
        <v>38</v>
      </c>
      <c r="T4" s="158" t="s">
        <v>39</v>
      </c>
      <c r="U4" s="158" t="s">
        <v>40</v>
      </c>
      <c r="V4" s="158" t="s">
        <v>41</v>
      </c>
      <c r="W4" s="159" t="s">
        <v>42</v>
      </c>
      <c r="X4" s="139"/>
      <c r="Y4" s="139"/>
      <c r="Z4" s="139"/>
    </row>
    <row r="5" spans="1:27">
      <c r="A5" s="160" t="s">
        <v>159</v>
      </c>
      <c r="B5" s="161">
        <v>1</v>
      </c>
      <c r="C5" s="138" t="s">
        <v>43</v>
      </c>
      <c r="D5" s="187">
        <v>673496246</v>
      </c>
      <c r="E5" s="188">
        <v>56172485</v>
      </c>
      <c r="F5" s="189">
        <v>1760300</v>
      </c>
      <c r="G5" s="189">
        <v>1860000</v>
      </c>
      <c r="H5" s="188">
        <v>11147934</v>
      </c>
      <c r="I5" s="189">
        <v>10075707</v>
      </c>
      <c r="J5" s="189">
        <v>18248787</v>
      </c>
      <c r="K5" s="188">
        <f t="shared" ref="K5:K45" si="0">D5+E5-H5-I5-J5</f>
        <v>690196303</v>
      </c>
      <c r="L5" s="188">
        <v>148603111</v>
      </c>
      <c r="M5" s="162">
        <f>VALTAX22!P10</f>
        <v>3.8199999999999996E-3</v>
      </c>
      <c r="N5" s="194">
        <f>L5*(VALTAX22!D10/'AFR-APR'!M5)</f>
        <v>64615122.348429322</v>
      </c>
      <c r="O5" s="188">
        <v>448753652</v>
      </c>
      <c r="P5" s="188">
        <v>65681879</v>
      </c>
      <c r="Q5" s="188">
        <v>786480</v>
      </c>
      <c r="R5" s="188">
        <v>0</v>
      </c>
      <c r="S5" s="188">
        <f>SUM(N5:R5)</f>
        <v>579837133.34842932</v>
      </c>
      <c r="T5" s="188">
        <f>K5-S5</f>
        <v>110359169.65157068</v>
      </c>
      <c r="U5" s="196">
        <f>[1]Districts!$S2</f>
        <v>82978.694444444438</v>
      </c>
      <c r="V5" s="186">
        <f>T5/U5</f>
        <v>1329.9699445796643</v>
      </c>
      <c r="W5" s="197">
        <f>IF(V5&gt;0,ROUND(V5/2,2),0)</f>
        <v>664.98</v>
      </c>
      <c r="Y5" s="201"/>
      <c r="Z5" s="163"/>
      <c r="AA5" s="200"/>
    </row>
    <row r="6" spans="1:27">
      <c r="A6" s="160" t="s">
        <v>160</v>
      </c>
      <c r="B6" s="161">
        <v>2</v>
      </c>
      <c r="C6" s="138" t="s">
        <v>44</v>
      </c>
      <c r="D6" s="187">
        <v>17801094.810000006</v>
      </c>
      <c r="E6" s="188">
        <v>2980466.68</v>
      </c>
      <c r="F6" s="189">
        <v>0</v>
      </c>
      <c r="G6" s="189">
        <v>0</v>
      </c>
      <c r="H6" s="188">
        <v>25712</v>
      </c>
      <c r="I6" s="189">
        <v>0</v>
      </c>
      <c r="J6" s="189">
        <v>2643215.1599999997</v>
      </c>
      <c r="K6" s="188">
        <f t="shared" si="0"/>
        <v>18112634.330000006</v>
      </c>
      <c r="L6" s="188">
        <v>6624056.8900000006</v>
      </c>
      <c r="M6" s="162">
        <f>VALTAX22!P11</f>
        <v>4.3619999999999996E-3</v>
      </c>
      <c r="N6" s="194">
        <f>L6*(VALTAX22!D11/'AFR-APR'!M6)</f>
        <v>2522365.542019716</v>
      </c>
      <c r="O6" s="188">
        <v>10459176.280000003</v>
      </c>
      <c r="P6" s="188">
        <v>1177074.67</v>
      </c>
      <c r="Q6" s="188">
        <v>0</v>
      </c>
      <c r="R6" s="188">
        <v>0</v>
      </c>
      <c r="S6" s="188">
        <f t="shared" ref="S6:S45" si="1">SUM(N6:R6)</f>
        <v>14158616.492019719</v>
      </c>
      <c r="T6" s="188">
        <f t="shared" ref="T6:T45" si="2">K6-S6</f>
        <v>3954017.8379802871</v>
      </c>
      <c r="U6" s="196">
        <f>[1]Districts!$S3</f>
        <v>1509.5333333333333</v>
      </c>
      <c r="V6" s="186">
        <f t="shared" ref="V6:V45" si="3">T6/U6</f>
        <v>2619.3643761738422</v>
      </c>
      <c r="W6" s="197">
        <f t="shared" ref="W6:W45" si="4">IF(V6&gt;0,ROUND(V6/2,2),0)</f>
        <v>1309.68</v>
      </c>
      <c r="Y6" s="201"/>
      <c r="Z6" s="163"/>
      <c r="AA6" s="200"/>
    </row>
    <row r="7" spans="1:27">
      <c r="A7" s="160" t="s">
        <v>161</v>
      </c>
      <c r="B7" s="161">
        <v>3</v>
      </c>
      <c r="C7" s="138" t="s">
        <v>45</v>
      </c>
      <c r="D7" s="187">
        <v>110404499.78000012</v>
      </c>
      <c r="E7" s="188">
        <v>26656602.57</v>
      </c>
      <c r="F7" s="189">
        <v>336761.95</v>
      </c>
      <c r="G7" s="189">
        <v>1590801.64</v>
      </c>
      <c r="H7" s="188">
        <v>0</v>
      </c>
      <c r="I7" s="189">
        <v>4186.8100000000004</v>
      </c>
      <c r="J7" s="189">
        <v>0</v>
      </c>
      <c r="K7" s="188">
        <f t="shared" si="0"/>
        <v>137056915.54000011</v>
      </c>
      <c r="L7" s="188">
        <v>26790931.079999998</v>
      </c>
      <c r="M7" s="162">
        <f>VALTAX22!P12</f>
        <v>4.463E-3</v>
      </c>
      <c r="N7" s="194">
        <f>L7*(VALTAX22!D12/'AFR-APR'!M7)</f>
        <v>9970812.5753708258</v>
      </c>
      <c r="O7" s="188">
        <v>69313370.940000027</v>
      </c>
      <c r="P7" s="188">
        <v>8478642.7800000012</v>
      </c>
      <c r="Q7" s="188">
        <v>1498046.4</v>
      </c>
      <c r="R7" s="188">
        <v>25116.99</v>
      </c>
      <c r="S7" s="188">
        <f t="shared" si="1"/>
        <v>89285989.685370848</v>
      </c>
      <c r="T7" s="188">
        <f t="shared" si="2"/>
        <v>47770925.854629263</v>
      </c>
      <c r="U7" s="196">
        <f>[1]Districts!$S4</f>
        <v>12216.02222222222</v>
      </c>
      <c r="V7" s="186">
        <f t="shared" si="3"/>
        <v>3910.5139942958649</v>
      </c>
      <c r="W7" s="197">
        <f t="shared" si="4"/>
        <v>1955.26</v>
      </c>
      <c r="Y7" s="201"/>
      <c r="Z7" s="163"/>
      <c r="AA7" s="200"/>
    </row>
    <row r="8" spans="1:27">
      <c r="A8" s="160" t="s">
        <v>162</v>
      </c>
      <c r="B8" s="161">
        <v>4</v>
      </c>
      <c r="C8" s="138" t="s">
        <v>46</v>
      </c>
      <c r="D8" s="187">
        <v>169547684.53000101</v>
      </c>
      <c r="E8" s="188">
        <v>8967535.7299999986</v>
      </c>
      <c r="F8" s="189">
        <v>0</v>
      </c>
      <c r="G8" s="189">
        <v>0</v>
      </c>
      <c r="H8" s="188">
        <v>0</v>
      </c>
      <c r="I8" s="189">
        <v>0</v>
      </c>
      <c r="J8" s="189">
        <v>6168349.1399999997</v>
      </c>
      <c r="K8" s="188">
        <f t="shared" si="0"/>
        <v>172346871.12000102</v>
      </c>
      <c r="L8" s="188">
        <v>32456583.240000006</v>
      </c>
      <c r="M8" s="162">
        <f>VALTAX22!P13</f>
        <v>4.0699999999999998E-3</v>
      </c>
      <c r="N8" s="194">
        <f>L8*(VALTAX22!D13/'AFR-APR'!M8)</f>
        <v>13245794.781729732</v>
      </c>
      <c r="O8" s="188">
        <v>121121027.14</v>
      </c>
      <c r="P8" s="188">
        <v>13381429.680000002</v>
      </c>
      <c r="Q8" s="188">
        <v>3893996.58</v>
      </c>
      <c r="R8" s="188">
        <v>0</v>
      </c>
      <c r="S8" s="188">
        <f t="shared" si="1"/>
        <v>151642248.18172976</v>
      </c>
      <c r="T8" s="188">
        <f t="shared" si="2"/>
        <v>20704622.938271254</v>
      </c>
      <c r="U8" s="196">
        <f>[1]Districts!$S5</f>
        <v>19493.82777777778</v>
      </c>
      <c r="V8" s="186">
        <f t="shared" si="3"/>
        <v>1062.1117193757982</v>
      </c>
      <c r="W8" s="197">
        <f t="shared" si="4"/>
        <v>531.05999999999995</v>
      </c>
      <c r="Y8" s="201"/>
      <c r="Z8" s="163"/>
      <c r="AA8" s="200"/>
    </row>
    <row r="9" spans="1:27">
      <c r="A9" s="160" t="s">
        <v>163</v>
      </c>
      <c r="B9" s="161">
        <v>5</v>
      </c>
      <c r="C9" s="138" t="s">
        <v>47</v>
      </c>
      <c r="D9" s="187">
        <v>38446862.059999995</v>
      </c>
      <c r="E9" s="188">
        <v>17647484.489999998</v>
      </c>
      <c r="F9" s="189">
        <v>0</v>
      </c>
      <c r="G9" s="189">
        <v>0</v>
      </c>
      <c r="H9" s="188">
        <v>0</v>
      </c>
      <c r="I9" s="189">
        <v>87248</v>
      </c>
      <c r="J9" s="189">
        <v>1186586.3400000001</v>
      </c>
      <c r="K9" s="188">
        <f t="shared" si="0"/>
        <v>54820512.209999993</v>
      </c>
      <c r="L9" s="188">
        <v>11139425.290000001</v>
      </c>
      <c r="M9" s="162">
        <f>VALTAX22!P14</f>
        <v>5.2599999999999999E-3</v>
      </c>
      <c r="N9" s="194">
        <f>L9*(VALTAX22!D14/'AFR-APR'!M9)</f>
        <v>3517601.7883441071</v>
      </c>
      <c r="O9" s="188">
        <v>22923619.5</v>
      </c>
      <c r="P9" s="188">
        <v>5086630.84</v>
      </c>
      <c r="Q9" s="188">
        <v>0</v>
      </c>
      <c r="R9" s="188">
        <v>0</v>
      </c>
      <c r="S9" s="188">
        <f t="shared" si="1"/>
        <v>31527852.128344107</v>
      </c>
      <c r="T9" s="188">
        <f t="shared" si="2"/>
        <v>23292660.081655886</v>
      </c>
      <c r="U9" s="196">
        <f>[1]Districts!$S6</f>
        <v>3328.7000000000003</v>
      </c>
      <c r="V9" s="186">
        <f t="shared" si="3"/>
        <v>6997.5245836680642</v>
      </c>
      <c r="W9" s="197">
        <f t="shared" si="4"/>
        <v>3498.76</v>
      </c>
      <c r="Y9" s="201"/>
      <c r="Z9" s="163"/>
      <c r="AA9" s="200"/>
    </row>
    <row r="10" spans="1:27">
      <c r="A10" s="160" t="s">
        <v>164</v>
      </c>
      <c r="B10" s="161">
        <v>6</v>
      </c>
      <c r="C10" s="138" t="s">
        <v>48</v>
      </c>
      <c r="D10" s="187">
        <v>4650479</v>
      </c>
      <c r="E10" s="188">
        <v>172765</v>
      </c>
      <c r="F10" s="189">
        <v>1108</v>
      </c>
      <c r="G10" s="189">
        <v>14506</v>
      </c>
      <c r="H10" s="188">
        <v>7173</v>
      </c>
      <c r="I10" s="189">
        <v>34084</v>
      </c>
      <c r="J10" s="189">
        <v>0</v>
      </c>
      <c r="K10" s="188">
        <f t="shared" si="0"/>
        <v>4781987</v>
      </c>
      <c r="L10" s="188">
        <v>1290651</v>
      </c>
      <c r="M10" s="162">
        <f>VALTAX22!P15</f>
        <v>3.5199999999999997E-3</v>
      </c>
      <c r="N10" s="194">
        <f>L10*(VALTAX22!D15/'AFR-APR'!M10)</f>
        <v>609025.94062500005</v>
      </c>
      <c r="O10" s="188">
        <v>2864509</v>
      </c>
      <c r="P10" s="188">
        <v>369230</v>
      </c>
      <c r="Q10" s="188">
        <v>50000</v>
      </c>
      <c r="R10" s="188">
        <v>0</v>
      </c>
      <c r="S10" s="188">
        <f t="shared" si="1"/>
        <v>3892764.9406249998</v>
      </c>
      <c r="T10" s="188">
        <f t="shared" si="2"/>
        <v>889222.05937500019</v>
      </c>
      <c r="U10" s="196">
        <f>[1]Districts!$S7</f>
        <v>184.21111111111108</v>
      </c>
      <c r="V10" s="186">
        <f t="shared" si="3"/>
        <v>4827.1901407654277</v>
      </c>
      <c r="W10" s="197">
        <f t="shared" si="4"/>
        <v>2413.6</v>
      </c>
      <c r="Y10" s="201"/>
      <c r="Z10" s="163"/>
      <c r="AA10" s="200"/>
    </row>
    <row r="11" spans="1:27">
      <c r="A11" s="160" t="s">
        <v>165</v>
      </c>
      <c r="B11" s="161">
        <v>7</v>
      </c>
      <c r="C11" s="138" t="s">
        <v>49</v>
      </c>
      <c r="D11" s="187">
        <v>642085474.69999707</v>
      </c>
      <c r="E11" s="188">
        <v>32661775.509999998</v>
      </c>
      <c r="F11" s="189">
        <v>0</v>
      </c>
      <c r="G11" s="189">
        <v>0</v>
      </c>
      <c r="H11" s="188">
        <v>3647612.44</v>
      </c>
      <c r="I11" s="189">
        <v>0</v>
      </c>
      <c r="J11" s="189">
        <v>19432414.709999997</v>
      </c>
      <c r="K11" s="188">
        <f t="shared" si="0"/>
        <v>651667223.05999696</v>
      </c>
      <c r="L11" s="188">
        <v>162921070.13000003</v>
      </c>
      <c r="M11" s="162">
        <f>VALTAX22!P16</f>
        <v>4.999E-3</v>
      </c>
      <c r="N11" s="194">
        <f>L11*(VALTAX22!D16/'AFR-APR'!M11)</f>
        <v>54133206.13841369</v>
      </c>
      <c r="O11" s="188">
        <v>407916891.85999984</v>
      </c>
      <c r="P11" s="188">
        <v>71613679.370000005</v>
      </c>
      <c r="Q11" s="188">
        <v>4252279.1500000004</v>
      </c>
      <c r="R11" s="188">
        <v>0</v>
      </c>
      <c r="S11" s="188">
        <f t="shared" si="1"/>
        <v>537916056.51841354</v>
      </c>
      <c r="T11" s="188">
        <f t="shared" si="2"/>
        <v>113751166.54158342</v>
      </c>
      <c r="U11" s="196">
        <f>[1]Districts!$S8</f>
        <v>71893.127777777772</v>
      </c>
      <c r="V11" s="186">
        <f t="shared" si="3"/>
        <v>1582.2258685585246</v>
      </c>
      <c r="W11" s="197">
        <f t="shared" si="4"/>
        <v>791.11</v>
      </c>
      <c r="Y11" s="201"/>
      <c r="Z11" s="163"/>
      <c r="AA11" s="200"/>
    </row>
    <row r="12" spans="1:27">
      <c r="A12" s="160" t="s">
        <v>166</v>
      </c>
      <c r="B12" s="161">
        <v>8</v>
      </c>
      <c r="C12" s="138" t="s">
        <v>50</v>
      </c>
      <c r="D12" s="187">
        <v>54716918.849999987</v>
      </c>
      <c r="E12" s="188">
        <v>9022780.3100000005</v>
      </c>
      <c r="F12" s="189">
        <v>3351654.97</v>
      </c>
      <c r="G12" s="189">
        <v>4985636.45</v>
      </c>
      <c r="H12" s="188">
        <v>0</v>
      </c>
      <c r="I12" s="189">
        <v>0</v>
      </c>
      <c r="J12" s="189">
        <v>595210.89</v>
      </c>
      <c r="K12" s="188">
        <f t="shared" si="0"/>
        <v>63144488.269999988</v>
      </c>
      <c r="L12" s="188">
        <v>13224675.209999999</v>
      </c>
      <c r="M12" s="162">
        <f>VALTAX22!P17</f>
        <v>4.8609999999999999E-3</v>
      </c>
      <c r="N12" s="194">
        <f>L12*(VALTAX22!D17/'AFR-APR'!M12)</f>
        <v>4518861.4531598436</v>
      </c>
      <c r="O12" s="188">
        <v>35805445.24000001</v>
      </c>
      <c r="P12" s="188">
        <v>6173737.6100000003</v>
      </c>
      <c r="Q12" s="188">
        <v>0</v>
      </c>
      <c r="R12" s="188">
        <v>0</v>
      </c>
      <c r="S12" s="188">
        <f t="shared" si="1"/>
        <v>46498044.303159855</v>
      </c>
      <c r="T12" s="188">
        <f t="shared" si="2"/>
        <v>16646443.966840133</v>
      </c>
      <c r="U12" s="196">
        <f>[1]Districts!$S9</f>
        <v>5059.8944444444442</v>
      </c>
      <c r="V12" s="186">
        <f t="shared" si="3"/>
        <v>3289.8796901024771</v>
      </c>
      <c r="W12" s="197">
        <f t="shared" si="4"/>
        <v>1644.94</v>
      </c>
      <c r="Y12" s="201"/>
      <c r="Z12" s="163"/>
      <c r="AA12" s="200"/>
    </row>
    <row r="13" spans="1:27">
      <c r="A13" s="160" t="s">
        <v>167</v>
      </c>
      <c r="B13" s="161">
        <v>9</v>
      </c>
      <c r="C13" s="138" t="s">
        <v>51</v>
      </c>
      <c r="D13" s="187">
        <v>28986156</v>
      </c>
      <c r="E13" s="188">
        <v>29085046</v>
      </c>
      <c r="F13" s="189">
        <v>0</v>
      </c>
      <c r="G13" s="189">
        <v>0</v>
      </c>
      <c r="H13" s="188">
        <v>0</v>
      </c>
      <c r="I13" s="189">
        <v>0</v>
      </c>
      <c r="J13" s="189">
        <v>26481908</v>
      </c>
      <c r="K13" s="188">
        <f t="shared" si="0"/>
        <v>31589294</v>
      </c>
      <c r="L13" s="188">
        <v>12948176</v>
      </c>
      <c r="M13" s="162">
        <f>VALTAX22!P18</f>
        <v>5.4949999999999999E-3</v>
      </c>
      <c r="N13" s="194">
        <f>L13*(VALTAX22!D18/'AFR-APR'!M13)</f>
        <v>3913907.249499545</v>
      </c>
      <c r="O13" s="188">
        <v>13904382</v>
      </c>
      <c r="P13" s="188">
        <v>2240962</v>
      </c>
      <c r="Q13" s="188">
        <v>4108</v>
      </c>
      <c r="R13" s="188">
        <v>0</v>
      </c>
      <c r="S13" s="188">
        <f t="shared" si="1"/>
        <v>20063359.249499545</v>
      </c>
      <c r="T13" s="188">
        <f t="shared" si="2"/>
        <v>11525934.750500455</v>
      </c>
      <c r="U13" s="196">
        <f>[1]Districts!$S10</f>
        <v>2095.4</v>
      </c>
      <c r="V13" s="186">
        <f t="shared" si="3"/>
        <v>5500.5892672045693</v>
      </c>
      <c r="W13" s="197">
        <f t="shared" si="4"/>
        <v>2750.29</v>
      </c>
      <c r="Y13" s="201"/>
      <c r="Z13" s="163"/>
      <c r="AA13" s="200"/>
    </row>
    <row r="14" spans="1:27">
      <c r="A14" s="160" t="s">
        <v>168</v>
      </c>
      <c r="B14" s="161">
        <v>10</v>
      </c>
      <c r="C14" s="138" t="s">
        <v>52</v>
      </c>
      <c r="D14" s="187">
        <v>14136729</v>
      </c>
      <c r="E14" s="188">
        <v>4711113</v>
      </c>
      <c r="F14" s="189">
        <v>169023</v>
      </c>
      <c r="G14" s="189">
        <v>542499</v>
      </c>
      <c r="H14" s="188">
        <v>0</v>
      </c>
      <c r="I14" s="189">
        <v>6694</v>
      </c>
      <c r="J14" s="189">
        <v>3278070</v>
      </c>
      <c r="K14" s="188">
        <f t="shared" si="0"/>
        <v>15563078</v>
      </c>
      <c r="L14" s="188">
        <v>4740835</v>
      </c>
      <c r="M14" s="162">
        <f>VALTAX22!P19</f>
        <v>5.7739999999999996E-3</v>
      </c>
      <c r="N14" s="194">
        <f>L14*(VALTAX22!D19/'AFR-APR'!M14)</f>
        <v>1363790.6018358157</v>
      </c>
      <c r="O14" s="188">
        <v>12546249</v>
      </c>
      <c r="P14" s="188">
        <v>1366481</v>
      </c>
      <c r="Q14" s="188">
        <v>103300</v>
      </c>
      <c r="R14" s="188">
        <v>0</v>
      </c>
      <c r="S14" s="188">
        <f t="shared" si="1"/>
        <v>15379820.601835815</v>
      </c>
      <c r="T14" s="188">
        <f t="shared" si="2"/>
        <v>183257.39816418476</v>
      </c>
      <c r="U14" s="196">
        <f>[1]Districts!$S11</f>
        <v>1225.0444444444443</v>
      </c>
      <c r="V14" s="186">
        <f t="shared" si="3"/>
        <v>149.59244866196809</v>
      </c>
      <c r="W14" s="197">
        <f t="shared" si="4"/>
        <v>74.8</v>
      </c>
      <c r="Y14" s="201"/>
      <c r="Z14" s="163"/>
      <c r="AA14" s="200"/>
    </row>
    <row r="15" spans="1:27">
      <c r="A15" s="160" t="s">
        <v>169</v>
      </c>
      <c r="B15" s="161">
        <v>11</v>
      </c>
      <c r="C15" s="138" t="s">
        <v>53</v>
      </c>
      <c r="D15" s="187">
        <v>18843177.120000012</v>
      </c>
      <c r="E15" s="188">
        <v>3911586.1999999997</v>
      </c>
      <c r="F15" s="189">
        <v>1372932.4</v>
      </c>
      <c r="G15" s="189">
        <v>1041000</v>
      </c>
      <c r="H15" s="188">
        <v>0</v>
      </c>
      <c r="I15" s="189">
        <v>0</v>
      </c>
      <c r="J15" s="189">
        <v>1227728.99</v>
      </c>
      <c r="K15" s="188">
        <f t="shared" si="0"/>
        <v>21527034.330000013</v>
      </c>
      <c r="L15" s="188">
        <v>12043156.439999998</v>
      </c>
      <c r="M15" s="162">
        <f>VALTAX22!P20</f>
        <v>4.6340000000000001E-3</v>
      </c>
      <c r="N15" s="194">
        <f>L15*(VALTAX22!D20/'AFR-APR'!M15)</f>
        <v>4316720.5107552856</v>
      </c>
      <c r="O15" s="188">
        <v>6654781.5499999989</v>
      </c>
      <c r="P15" s="188">
        <v>2654880.5099999998</v>
      </c>
      <c r="Q15" s="188">
        <v>0</v>
      </c>
      <c r="R15" s="188">
        <v>0</v>
      </c>
      <c r="S15" s="188">
        <f t="shared" si="1"/>
        <v>13626382.570755284</v>
      </c>
      <c r="T15" s="188">
        <f t="shared" si="2"/>
        <v>7900651.7592447288</v>
      </c>
      <c r="U15" s="196">
        <f>[1]Districts!$S12</f>
        <v>1418.9555555555557</v>
      </c>
      <c r="V15" s="186">
        <f t="shared" si="3"/>
        <v>5567.934618044771</v>
      </c>
      <c r="W15" s="197">
        <f t="shared" si="4"/>
        <v>2783.97</v>
      </c>
      <c r="Y15" s="201"/>
      <c r="Z15" s="163"/>
      <c r="AA15" s="200"/>
    </row>
    <row r="16" spans="1:27">
      <c r="A16" s="160" t="s">
        <v>170</v>
      </c>
      <c r="B16" s="161">
        <v>12</v>
      </c>
      <c r="C16" s="138" t="s">
        <v>54</v>
      </c>
      <c r="D16" s="187">
        <v>604356495.03999686</v>
      </c>
      <c r="E16" s="188">
        <v>112196671.75999996</v>
      </c>
      <c r="F16" s="189">
        <v>0</v>
      </c>
      <c r="G16" s="189">
        <v>0</v>
      </c>
      <c r="H16" s="188">
        <v>187500</v>
      </c>
      <c r="I16" s="189">
        <v>1728875.69</v>
      </c>
      <c r="J16" s="189">
        <v>93756903.439999953</v>
      </c>
      <c r="K16" s="188">
        <f t="shared" si="0"/>
        <v>620879887.66999686</v>
      </c>
      <c r="L16" s="188">
        <v>171326853.52000001</v>
      </c>
      <c r="M16" s="162">
        <f>VALTAX22!P21</f>
        <v>4.4849999999999994E-3</v>
      </c>
      <c r="N16" s="194">
        <f>L16*(VALTAX22!D21/'AFR-APR'!M16)</f>
        <v>63450145.751777045</v>
      </c>
      <c r="O16" s="188">
        <v>338112685.58999997</v>
      </c>
      <c r="P16" s="188">
        <v>82620344.019999996</v>
      </c>
      <c r="Q16" s="188">
        <v>24900.31</v>
      </c>
      <c r="R16" s="188">
        <v>170482.56</v>
      </c>
      <c r="S16" s="188">
        <f t="shared" si="1"/>
        <v>484378558.23177701</v>
      </c>
      <c r="T16" s="188">
        <f t="shared" si="2"/>
        <v>136501329.43821985</v>
      </c>
      <c r="U16" s="196">
        <f>[1]Districts!$S13</f>
        <v>58802.355555555558</v>
      </c>
      <c r="V16" s="186">
        <f t="shared" si="3"/>
        <v>2321.3581862253036</v>
      </c>
      <c r="W16" s="197">
        <f t="shared" si="4"/>
        <v>1160.68</v>
      </c>
      <c r="Y16" s="201"/>
      <c r="Z16" s="163"/>
      <c r="AA16" s="200"/>
    </row>
    <row r="17" spans="1:27">
      <c r="A17" s="160" t="s">
        <v>171</v>
      </c>
      <c r="B17" s="161">
        <v>13</v>
      </c>
      <c r="C17" s="138" t="s">
        <v>55</v>
      </c>
      <c r="D17" s="187">
        <v>92669763.359999582</v>
      </c>
      <c r="E17" s="188">
        <v>6460244.2700000042</v>
      </c>
      <c r="F17" s="189">
        <v>1863.22</v>
      </c>
      <c r="G17" s="189">
        <v>203572.09</v>
      </c>
      <c r="H17" s="188">
        <v>23712</v>
      </c>
      <c r="I17" s="189">
        <v>0</v>
      </c>
      <c r="J17" s="189">
        <v>1795762.2900000003</v>
      </c>
      <c r="K17" s="188">
        <f t="shared" si="0"/>
        <v>97310533.339999586</v>
      </c>
      <c r="L17" s="188">
        <v>19631204.159999996</v>
      </c>
      <c r="M17" s="162">
        <f>VALTAX22!P22</f>
        <v>3.3679999999999995E-3</v>
      </c>
      <c r="N17" s="194">
        <f>L17*(VALTAX22!D22/'AFR-APR'!M17)</f>
        <v>9681541.0064608064</v>
      </c>
      <c r="O17" s="188">
        <v>66133643.710000008</v>
      </c>
      <c r="P17" s="188">
        <v>10359692.359999999</v>
      </c>
      <c r="Q17" s="188">
        <v>372195.69</v>
      </c>
      <c r="R17" s="188">
        <v>10609.38</v>
      </c>
      <c r="S17" s="188">
        <f t="shared" si="1"/>
        <v>86557682.146460801</v>
      </c>
      <c r="T17" s="188">
        <f t="shared" si="2"/>
        <v>10752851.193538785</v>
      </c>
      <c r="U17" s="196">
        <f>[1]Districts!$S14</f>
        <v>11654.961111111113</v>
      </c>
      <c r="V17" s="186">
        <f t="shared" si="3"/>
        <v>922.59863340836773</v>
      </c>
      <c r="W17" s="197">
        <f t="shared" si="4"/>
        <v>461.3</v>
      </c>
      <c r="Y17" s="201"/>
      <c r="Z17" s="163"/>
      <c r="AA17" s="200"/>
    </row>
    <row r="18" spans="1:27">
      <c r="A18" s="160" t="s">
        <v>172</v>
      </c>
      <c r="B18" s="161">
        <v>14</v>
      </c>
      <c r="C18" s="138" t="s">
        <v>56</v>
      </c>
      <c r="D18" s="187">
        <v>479080168.6800009</v>
      </c>
      <c r="E18" s="188">
        <v>51694402.560000002</v>
      </c>
      <c r="F18" s="189">
        <v>1060443.8699999999</v>
      </c>
      <c r="G18" s="189">
        <v>1110000</v>
      </c>
      <c r="H18" s="188">
        <v>7862842.7300000014</v>
      </c>
      <c r="I18" s="189">
        <v>0</v>
      </c>
      <c r="J18" s="189">
        <v>32140501.420000013</v>
      </c>
      <c r="K18" s="188">
        <f t="shared" si="0"/>
        <v>490771227.09000087</v>
      </c>
      <c r="L18" s="188">
        <v>115960131.75999999</v>
      </c>
      <c r="M18" s="162">
        <f>VALTAX22!P23</f>
        <v>3.7369999999999999E-3</v>
      </c>
      <c r="N18" s="194">
        <f>L18*(VALTAX22!D23/'AFR-APR'!M18)</f>
        <v>51541284.145935237</v>
      </c>
      <c r="O18" s="188">
        <v>306531156.78999996</v>
      </c>
      <c r="P18" s="188">
        <v>38243516.360000007</v>
      </c>
      <c r="Q18" s="188">
        <v>608854.63</v>
      </c>
      <c r="R18" s="188">
        <v>491577.04</v>
      </c>
      <c r="S18" s="188">
        <f t="shared" si="1"/>
        <v>397416388.96593523</v>
      </c>
      <c r="T18" s="188">
        <f t="shared" si="2"/>
        <v>93354838.124065638</v>
      </c>
      <c r="U18" s="196">
        <f>[1]Districts!$S15</f>
        <v>57326.816666666666</v>
      </c>
      <c r="V18" s="186">
        <f t="shared" si="3"/>
        <v>1628.4671564250293</v>
      </c>
      <c r="W18" s="197">
        <f t="shared" si="4"/>
        <v>814.23</v>
      </c>
      <c r="Y18" s="201"/>
      <c r="Z18" s="163"/>
      <c r="AA18" s="200"/>
    </row>
    <row r="19" spans="1:27">
      <c r="A19" s="160" t="s">
        <v>173</v>
      </c>
      <c r="B19" s="161">
        <v>15</v>
      </c>
      <c r="C19" s="138" t="s">
        <v>57</v>
      </c>
      <c r="D19" s="187">
        <v>25986887.200000033</v>
      </c>
      <c r="E19" s="188">
        <v>9645773.620000001</v>
      </c>
      <c r="F19" s="189">
        <v>139813</v>
      </c>
      <c r="G19" s="189">
        <v>697000</v>
      </c>
      <c r="H19" s="188">
        <v>57391</v>
      </c>
      <c r="I19" s="189">
        <v>153753.22999999998</v>
      </c>
      <c r="J19" s="189">
        <v>5872767.5600000005</v>
      </c>
      <c r="K19" s="188">
        <f t="shared" si="0"/>
        <v>29548749.030000038</v>
      </c>
      <c r="L19" s="188">
        <v>5448397.2999999989</v>
      </c>
      <c r="M19" s="162">
        <f>VALTAX22!P24</f>
        <v>4.2989999999999999E-3</v>
      </c>
      <c r="N19" s="194">
        <f>L19*(VALTAX22!D24/'AFR-APR'!M19)</f>
        <v>2105091.3969062567</v>
      </c>
      <c r="O19" s="188">
        <v>18173081.049999997</v>
      </c>
      <c r="P19" s="188">
        <v>2416150.1799999997</v>
      </c>
      <c r="Q19" s="188">
        <v>18857.29</v>
      </c>
      <c r="R19" s="188">
        <v>0</v>
      </c>
      <c r="S19" s="188">
        <f t="shared" si="1"/>
        <v>22713179.916906253</v>
      </c>
      <c r="T19" s="188">
        <f t="shared" si="2"/>
        <v>6835569.1130937859</v>
      </c>
      <c r="U19" s="196">
        <f>[1]Districts!$S16</f>
        <v>2588.8333333333335</v>
      </c>
      <c r="V19" s="186">
        <f t="shared" si="3"/>
        <v>2640.4052455135975</v>
      </c>
      <c r="W19" s="197">
        <f t="shared" si="4"/>
        <v>1320.2</v>
      </c>
      <c r="Y19" s="201"/>
      <c r="Z19" s="163"/>
      <c r="AA19" s="200"/>
    </row>
    <row r="20" spans="1:27">
      <c r="A20" s="160" t="s">
        <v>174</v>
      </c>
      <c r="B20" s="161">
        <v>16</v>
      </c>
      <c r="C20" s="138" t="s">
        <v>58</v>
      </c>
      <c r="D20" s="187">
        <v>16396941.680000005</v>
      </c>
      <c r="E20" s="188">
        <v>12727002.279999999</v>
      </c>
      <c r="F20" s="189">
        <v>624737.5</v>
      </c>
      <c r="G20" s="189">
        <v>705000</v>
      </c>
      <c r="H20" s="188">
        <v>0</v>
      </c>
      <c r="I20" s="189">
        <v>0</v>
      </c>
      <c r="J20" s="189">
        <v>10999546.41</v>
      </c>
      <c r="K20" s="188">
        <f t="shared" si="0"/>
        <v>18124397.550000004</v>
      </c>
      <c r="L20" s="188">
        <v>6336018.9900000012</v>
      </c>
      <c r="M20" s="162">
        <f>VALTAX22!P25</f>
        <v>4.0160000000000005E-3</v>
      </c>
      <c r="N20" s="194">
        <f>L20*(VALTAX22!D25/'AFR-APR'!M20)</f>
        <v>2620549.6868500994</v>
      </c>
      <c r="O20" s="188">
        <v>10788594.85</v>
      </c>
      <c r="P20" s="188">
        <v>1326867.31</v>
      </c>
      <c r="Q20" s="188">
        <v>0</v>
      </c>
      <c r="R20" s="188">
        <v>0</v>
      </c>
      <c r="S20" s="188">
        <f t="shared" si="1"/>
        <v>14736011.846850099</v>
      </c>
      <c r="T20" s="188">
        <f t="shared" si="2"/>
        <v>3388385.7031499054</v>
      </c>
      <c r="U20" s="196">
        <f>[1]Districts!$S17</f>
        <v>1381.1611111111108</v>
      </c>
      <c r="V20" s="186">
        <f t="shared" si="3"/>
        <v>2453.2877995848226</v>
      </c>
      <c r="W20" s="197">
        <f t="shared" si="4"/>
        <v>1226.6400000000001</v>
      </c>
      <c r="Y20" s="201"/>
      <c r="Z20" s="163"/>
      <c r="AA20" s="200"/>
    </row>
    <row r="21" spans="1:27">
      <c r="A21" s="160" t="s">
        <v>175</v>
      </c>
      <c r="B21" s="161">
        <v>17</v>
      </c>
      <c r="C21" s="138" t="s">
        <v>59</v>
      </c>
      <c r="D21" s="187">
        <v>35686438.739999995</v>
      </c>
      <c r="E21" s="188">
        <v>4423673.3800000008</v>
      </c>
      <c r="F21" s="189">
        <v>-179800.69</v>
      </c>
      <c r="G21" s="189">
        <v>573000</v>
      </c>
      <c r="H21" s="188">
        <v>0</v>
      </c>
      <c r="I21" s="189">
        <v>51733.100000000006</v>
      </c>
      <c r="J21" s="189">
        <v>77440.850000000006</v>
      </c>
      <c r="K21" s="188">
        <f t="shared" si="0"/>
        <v>39980938.169999994</v>
      </c>
      <c r="L21" s="188">
        <v>12525997.779999999</v>
      </c>
      <c r="M21" s="162">
        <f>VALTAX22!P26</f>
        <v>4.9259999999999998E-3</v>
      </c>
      <c r="N21" s="194">
        <f>L21*(VALTAX22!D26/'AFR-APR'!M21)</f>
        <v>4223646.4296751926</v>
      </c>
      <c r="O21" s="188">
        <v>18179131.5</v>
      </c>
      <c r="P21" s="188">
        <v>3929462.75</v>
      </c>
      <c r="Q21" s="188">
        <v>20978.73</v>
      </c>
      <c r="R21" s="188">
        <v>271835.71000000002</v>
      </c>
      <c r="S21" s="188">
        <f t="shared" si="1"/>
        <v>26625055.119675193</v>
      </c>
      <c r="T21" s="188">
        <f t="shared" si="2"/>
        <v>13355883.050324801</v>
      </c>
      <c r="U21" s="196">
        <f>[1]Districts!$S18</f>
        <v>3063.2000000000003</v>
      </c>
      <c r="V21" s="186">
        <f t="shared" si="3"/>
        <v>4360.1080733627578</v>
      </c>
      <c r="W21" s="197">
        <f t="shared" si="4"/>
        <v>2180.0500000000002</v>
      </c>
      <c r="Y21" s="201"/>
      <c r="Z21" s="163"/>
      <c r="AA21" s="200"/>
    </row>
    <row r="22" spans="1:27">
      <c r="A22" s="160" t="s">
        <v>176</v>
      </c>
      <c r="B22" s="161">
        <v>18</v>
      </c>
      <c r="C22" s="138" t="s">
        <v>60</v>
      </c>
      <c r="D22" s="187">
        <v>25910129.029999994</v>
      </c>
      <c r="E22" s="188">
        <v>4515099.1899999995</v>
      </c>
      <c r="F22" s="189">
        <v>73117.22</v>
      </c>
      <c r="G22" s="189">
        <v>420567.5</v>
      </c>
      <c r="H22" s="188">
        <v>2150671.9900000002</v>
      </c>
      <c r="I22" s="189">
        <v>1219241.79</v>
      </c>
      <c r="J22" s="189">
        <v>0</v>
      </c>
      <c r="K22" s="188">
        <f t="shared" si="0"/>
        <v>27055314.43999999</v>
      </c>
      <c r="L22" s="188">
        <v>6227036.1100000003</v>
      </c>
      <c r="M22" s="162">
        <f>VALTAX22!P27</f>
        <v>3.9849999999999998E-3</v>
      </c>
      <c r="N22" s="194">
        <f>L22*(VALTAX22!D27/'AFR-APR'!M22)</f>
        <v>2595509.9068281054</v>
      </c>
      <c r="O22" s="188">
        <v>19548363.82</v>
      </c>
      <c r="P22" s="188">
        <v>1006508.0800000001</v>
      </c>
      <c r="Q22" s="188">
        <v>31114.52</v>
      </c>
      <c r="R22" s="188">
        <v>59389</v>
      </c>
      <c r="S22" s="188">
        <f t="shared" si="1"/>
        <v>23240885.326828104</v>
      </c>
      <c r="T22" s="188">
        <f t="shared" si="2"/>
        <v>3814429.1131718867</v>
      </c>
      <c r="U22" s="196">
        <f>[1]Districts!$S19</f>
        <v>3328.7777777777774</v>
      </c>
      <c r="V22" s="186">
        <f t="shared" si="3"/>
        <v>1145.8947901647914</v>
      </c>
      <c r="W22" s="197">
        <f t="shared" si="4"/>
        <v>572.95000000000005</v>
      </c>
      <c r="Y22" s="201"/>
      <c r="Z22" s="163"/>
      <c r="AA22" s="200"/>
    </row>
    <row r="23" spans="1:27">
      <c r="A23" s="160" t="s">
        <v>177</v>
      </c>
      <c r="B23" s="161">
        <v>19</v>
      </c>
      <c r="C23" s="138" t="s">
        <v>61</v>
      </c>
      <c r="D23" s="187">
        <v>290482040.77999973</v>
      </c>
      <c r="E23" s="188">
        <v>51694926.100000001</v>
      </c>
      <c r="F23" s="189">
        <v>1401837.5</v>
      </c>
      <c r="G23" s="189">
        <v>1750000</v>
      </c>
      <c r="H23" s="188">
        <v>534187.79</v>
      </c>
      <c r="I23" s="189">
        <v>2990103.8299999991</v>
      </c>
      <c r="J23" s="189">
        <v>41350745.730000004</v>
      </c>
      <c r="K23" s="188">
        <f>D23+E23-H23-I23-J23</f>
        <v>297301929.52999973</v>
      </c>
      <c r="L23" s="188">
        <v>58678568.189999998</v>
      </c>
      <c r="M23" s="162">
        <f>VALTAX22!P28</f>
        <v>4.4120000000000001E-3</v>
      </c>
      <c r="N23" s="194">
        <f>L23*(VALTAX22!D28/'AFR-APR'!M23)</f>
        <v>22090911.551131006</v>
      </c>
      <c r="O23" s="188">
        <v>211727744.52000001</v>
      </c>
      <c r="P23" s="188">
        <v>24827291.739999998</v>
      </c>
      <c r="Q23" s="188">
        <v>9683882.6600000001</v>
      </c>
      <c r="R23" s="188">
        <v>0</v>
      </c>
      <c r="S23" s="188">
        <f t="shared" si="1"/>
        <v>268329830.47113103</v>
      </c>
      <c r="T23" s="188">
        <f t="shared" si="2"/>
        <v>28972099.058868706</v>
      </c>
      <c r="U23" s="196">
        <f>[1]Districts!$S20</f>
        <v>35248.35</v>
      </c>
      <c r="V23" s="186">
        <f t="shared" si="3"/>
        <v>821.94199328106731</v>
      </c>
      <c r="W23" s="197">
        <f t="shared" si="4"/>
        <v>410.97</v>
      </c>
      <c r="Y23" s="201"/>
      <c r="Z23" s="163"/>
      <c r="AA23" s="200"/>
    </row>
    <row r="24" spans="1:27">
      <c r="A24" s="160" t="s">
        <v>178</v>
      </c>
      <c r="B24" s="161">
        <v>20</v>
      </c>
      <c r="C24" s="138" t="s">
        <v>62</v>
      </c>
      <c r="D24" s="187">
        <v>27171345.930000044</v>
      </c>
      <c r="E24" s="188">
        <v>764930.34999999986</v>
      </c>
      <c r="F24" s="189">
        <v>0</v>
      </c>
      <c r="G24" s="189">
        <v>0</v>
      </c>
      <c r="H24" s="188">
        <v>109960.92</v>
      </c>
      <c r="I24" s="189">
        <v>85041.62000000001</v>
      </c>
      <c r="J24" s="189">
        <v>0</v>
      </c>
      <c r="K24" s="188">
        <f t="shared" si="0"/>
        <v>27741273.740000043</v>
      </c>
      <c r="L24" s="188">
        <v>5065772.37</v>
      </c>
      <c r="M24" s="162">
        <f>VALTAX22!P29</f>
        <v>4.4250000000000001E-3</v>
      </c>
      <c r="N24" s="194">
        <f>L24*(VALTAX22!D29/'AFR-APR'!M24)</f>
        <v>1901524.9506372882</v>
      </c>
      <c r="O24" s="188">
        <v>18857068.170000002</v>
      </c>
      <c r="P24" s="188">
        <v>3408480.2600000002</v>
      </c>
      <c r="Q24" s="188">
        <v>262852.28999999998</v>
      </c>
      <c r="R24" s="188">
        <v>0</v>
      </c>
      <c r="S24" s="188">
        <f t="shared" si="1"/>
        <v>24429925.670637291</v>
      </c>
      <c r="T24" s="188">
        <f t="shared" si="2"/>
        <v>3311348.0693627521</v>
      </c>
      <c r="U24" s="196">
        <f>[1]Districts!$S21</f>
        <v>2492.8833333333332</v>
      </c>
      <c r="V24" s="186">
        <f t="shared" si="3"/>
        <v>1328.3205134734553</v>
      </c>
      <c r="W24" s="197">
        <f t="shared" si="4"/>
        <v>664.16</v>
      </c>
      <c r="Y24" s="201"/>
      <c r="Z24" s="163"/>
      <c r="AA24" s="200"/>
    </row>
    <row r="25" spans="1:27">
      <c r="A25" s="160" t="s">
        <v>179</v>
      </c>
      <c r="B25" s="161">
        <v>21</v>
      </c>
      <c r="C25" s="138" t="s">
        <v>63</v>
      </c>
      <c r="D25" s="187">
        <v>13708960.460000008</v>
      </c>
      <c r="E25" s="188">
        <v>1407944.71</v>
      </c>
      <c r="F25" s="189">
        <v>0</v>
      </c>
      <c r="G25" s="189">
        <v>0</v>
      </c>
      <c r="H25" s="188">
        <v>19823.189999999999</v>
      </c>
      <c r="I25" s="189">
        <v>684262.56</v>
      </c>
      <c r="J25" s="189">
        <v>0</v>
      </c>
      <c r="K25" s="188">
        <f t="shared" si="0"/>
        <v>14412819.420000009</v>
      </c>
      <c r="L25" s="188">
        <v>7929142.4800000004</v>
      </c>
      <c r="M25" s="162">
        <f>VALTAX22!P30</f>
        <v>3.7399999999999998E-3</v>
      </c>
      <c r="N25" s="194">
        <f>L25*(VALTAX22!D30/'AFR-APR'!M25)</f>
        <v>3521472.1014117645</v>
      </c>
      <c r="O25" s="188">
        <v>5141553.8400000008</v>
      </c>
      <c r="P25" s="188">
        <v>1257810.67</v>
      </c>
      <c r="Q25" s="188">
        <v>0</v>
      </c>
      <c r="R25" s="188">
        <v>0</v>
      </c>
      <c r="S25" s="188">
        <f t="shared" si="1"/>
        <v>9920836.6114117652</v>
      </c>
      <c r="T25" s="188">
        <f t="shared" si="2"/>
        <v>4491982.808588244</v>
      </c>
      <c r="U25" s="196">
        <f>[1]Districts!$S22</f>
        <v>1030.4888888888891</v>
      </c>
      <c r="V25" s="186">
        <f t="shared" si="3"/>
        <v>4359.0793234380862</v>
      </c>
      <c r="W25" s="197">
        <f t="shared" si="4"/>
        <v>2179.54</v>
      </c>
      <c r="Y25" s="201"/>
      <c r="Z25" s="163"/>
      <c r="AA25" s="200"/>
    </row>
    <row r="26" spans="1:27">
      <c r="A26" s="160" t="s">
        <v>180</v>
      </c>
      <c r="B26" s="161">
        <v>22</v>
      </c>
      <c r="C26" s="138" t="s">
        <v>64</v>
      </c>
      <c r="D26" s="187">
        <v>86277078</v>
      </c>
      <c r="E26" s="188">
        <v>10067280</v>
      </c>
      <c r="F26" s="189">
        <v>0</v>
      </c>
      <c r="G26" s="189">
        <v>0</v>
      </c>
      <c r="H26" s="188">
        <v>1040573</v>
      </c>
      <c r="I26" s="189">
        <v>5061144</v>
      </c>
      <c r="J26" s="189">
        <v>731051</v>
      </c>
      <c r="K26" s="188">
        <f t="shared" si="0"/>
        <v>89511590</v>
      </c>
      <c r="L26" s="188">
        <v>80673565</v>
      </c>
      <c r="M26" s="162">
        <f>VALTAX22!P31</f>
        <v>3.8430000000000001E-3</v>
      </c>
      <c r="N26" s="194">
        <f>L26*(VALTAX22!D31/'AFR-APR'!M26)</f>
        <v>34868277.768670313</v>
      </c>
      <c r="O26" s="188">
        <v>5875719</v>
      </c>
      <c r="P26" s="188">
        <v>2876856</v>
      </c>
      <c r="Q26" s="188">
        <v>0</v>
      </c>
      <c r="R26" s="188">
        <v>0</v>
      </c>
      <c r="S26" s="188">
        <f t="shared" si="1"/>
        <v>43620852.768670313</v>
      </c>
      <c r="T26" s="188">
        <f t="shared" si="2"/>
        <v>45890737.231329687</v>
      </c>
      <c r="U26" s="196">
        <f>[1]Districts!$S23</f>
        <v>4500.6277777777777</v>
      </c>
      <c r="V26" s="186">
        <f t="shared" si="3"/>
        <v>10196.519129602097</v>
      </c>
      <c r="W26" s="197">
        <f t="shared" si="4"/>
        <v>5098.26</v>
      </c>
      <c r="Y26" s="201"/>
      <c r="Z26" s="163"/>
      <c r="AA26" s="200"/>
    </row>
    <row r="27" spans="1:27">
      <c r="A27" s="160" t="s">
        <v>181</v>
      </c>
      <c r="B27" s="161">
        <v>23</v>
      </c>
      <c r="C27" s="138" t="s">
        <v>65</v>
      </c>
      <c r="D27" s="187">
        <v>5714399.1699999999</v>
      </c>
      <c r="E27" s="188">
        <v>406413.89999999997</v>
      </c>
      <c r="F27" s="189">
        <v>84028.5</v>
      </c>
      <c r="G27" s="189">
        <v>20958.32</v>
      </c>
      <c r="H27" s="188">
        <v>0</v>
      </c>
      <c r="I27" s="189">
        <v>157334.07999999999</v>
      </c>
      <c r="J27" s="189">
        <v>0</v>
      </c>
      <c r="K27" s="188">
        <f t="shared" si="0"/>
        <v>5963478.9900000002</v>
      </c>
      <c r="L27" s="188">
        <v>631740.82999999996</v>
      </c>
      <c r="M27" s="162">
        <f>VALTAX22!P32</f>
        <v>3.6610000000000002E-3</v>
      </c>
      <c r="N27" s="194">
        <f>L27*(VALTAX22!D32/'AFR-APR'!M27)</f>
        <v>286621.55657743785</v>
      </c>
      <c r="O27" s="188">
        <v>5276693.62</v>
      </c>
      <c r="P27" s="188">
        <v>579386.28</v>
      </c>
      <c r="Q27" s="188">
        <v>204007.16</v>
      </c>
      <c r="R27" s="188">
        <v>124302.15</v>
      </c>
      <c r="S27" s="188">
        <f t="shared" si="1"/>
        <v>6471010.7665774385</v>
      </c>
      <c r="T27" s="188">
        <f t="shared" si="2"/>
        <v>-507531.77657743823</v>
      </c>
      <c r="U27" s="196">
        <f>[1]Districts!$S24</f>
        <v>280.57777777777778</v>
      </c>
      <c r="V27" s="186">
        <f t="shared" si="3"/>
        <v>-1808.8808764442199</v>
      </c>
      <c r="W27" s="197">
        <f t="shared" si="4"/>
        <v>0</v>
      </c>
      <c r="Y27" s="201"/>
      <c r="Z27" s="163"/>
      <c r="AA27" s="200"/>
    </row>
    <row r="28" spans="1:27">
      <c r="A28" s="160" t="s">
        <v>182</v>
      </c>
      <c r="B28" s="161">
        <v>24</v>
      </c>
      <c r="C28" s="138" t="s">
        <v>66</v>
      </c>
      <c r="D28" s="187">
        <v>9356298.4699999895</v>
      </c>
      <c r="E28" s="188">
        <v>554020.49</v>
      </c>
      <c r="F28" s="189">
        <v>0</v>
      </c>
      <c r="G28" s="189">
        <v>0</v>
      </c>
      <c r="H28" s="188">
        <v>108695.16</v>
      </c>
      <c r="I28" s="189">
        <v>0</v>
      </c>
      <c r="J28" s="189">
        <v>386732.23</v>
      </c>
      <c r="K28" s="188">
        <f t="shared" si="0"/>
        <v>9414891.5699999891</v>
      </c>
      <c r="L28" s="188">
        <v>5251327.53</v>
      </c>
      <c r="M28" s="162">
        <f>VALTAX22!P33</f>
        <v>3.4000000000000002E-3</v>
      </c>
      <c r="N28" s="194">
        <f>L28*(VALTAX22!D33/'AFR-APR'!M28)</f>
        <v>2565427.9492147057</v>
      </c>
      <c r="O28" s="188">
        <v>3549711.9499999997</v>
      </c>
      <c r="P28" s="188">
        <v>684445.07000000007</v>
      </c>
      <c r="Q28" s="188">
        <v>50000</v>
      </c>
      <c r="R28" s="188">
        <v>0</v>
      </c>
      <c r="S28" s="188">
        <f t="shared" si="1"/>
        <v>6849584.9692147058</v>
      </c>
      <c r="T28" s="188">
        <f t="shared" si="2"/>
        <v>2565306.6007852834</v>
      </c>
      <c r="U28" s="196">
        <f>[1]Districts!$S25</f>
        <v>498.78888888888889</v>
      </c>
      <c r="V28" s="186">
        <f t="shared" si="3"/>
        <v>5143.0708621032163</v>
      </c>
      <c r="W28" s="197">
        <f t="shared" si="4"/>
        <v>2571.54</v>
      </c>
      <c r="Y28" s="201"/>
      <c r="Z28" s="163"/>
      <c r="AA28" s="200"/>
    </row>
    <row r="29" spans="1:27">
      <c r="A29" s="160" t="s">
        <v>183</v>
      </c>
      <c r="B29" s="161">
        <v>25</v>
      </c>
      <c r="C29" s="138" t="s">
        <v>67</v>
      </c>
      <c r="D29" s="187">
        <v>44186527.509999834</v>
      </c>
      <c r="E29" s="188">
        <v>2619047.66</v>
      </c>
      <c r="F29" s="189">
        <v>0</v>
      </c>
      <c r="G29" s="189">
        <v>0</v>
      </c>
      <c r="H29" s="188">
        <v>15022.300000000001</v>
      </c>
      <c r="I29" s="189">
        <v>0</v>
      </c>
      <c r="J29" s="189">
        <v>1778602.0899999999</v>
      </c>
      <c r="K29" s="188">
        <f t="shared" si="0"/>
        <v>45011950.779999837</v>
      </c>
      <c r="L29" s="188">
        <v>5004396.6500000013</v>
      </c>
      <c r="M29" s="162">
        <f>VALTAX22!P34</f>
        <v>5.4019999999999997E-3</v>
      </c>
      <c r="N29" s="194">
        <f>L29*(VALTAX22!D34/'AFR-APR'!M29)</f>
        <v>1538745.4342188083</v>
      </c>
      <c r="O29" s="188">
        <v>29791563.230000004</v>
      </c>
      <c r="P29" s="188">
        <v>12820152.49</v>
      </c>
      <c r="Q29" s="188">
        <v>800102.06</v>
      </c>
      <c r="R29" s="188">
        <v>2385800.1</v>
      </c>
      <c r="S29" s="188">
        <f t="shared" si="1"/>
        <v>47336363.314218819</v>
      </c>
      <c r="T29" s="188">
        <f t="shared" si="2"/>
        <v>-2324412.5342189819</v>
      </c>
      <c r="U29" s="196">
        <f>[1]Districts!$S26</f>
        <v>2824.0333333333333</v>
      </c>
      <c r="V29" s="186">
        <f t="shared" si="3"/>
        <v>-823.08254183224301</v>
      </c>
      <c r="W29" s="197">
        <f t="shared" si="4"/>
        <v>0</v>
      </c>
      <c r="Y29" s="201"/>
      <c r="Z29" s="163"/>
      <c r="AA29" s="200"/>
    </row>
    <row r="30" spans="1:27">
      <c r="A30" s="160" t="s">
        <v>184</v>
      </c>
      <c r="B30" s="161">
        <v>26</v>
      </c>
      <c r="C30" s="138" t="s">
        <v>68</v>
      </c>
      <c r="D30" s="187">
        <v>44794237.920000054</v>
      </c>
      <c r="E30" s="188">
        <v>5167701.87</v>
      </c>
      <c r="F30" s="189">
        <v>350300</v>
      </c>
      <c r="G30" s="189">
        <v>0</v>
      </c>
      <c r="H30" s="188">
        <v>0</v>
      </c>
      <c r="I30" s="189">
        <v>4811151.87</v>
      </c>
      <c r="J30" s="189">
        <v>0</v>
      </c>
      <c r="K30" s="188">
        <f t="shared" si="0"/>
        <v>45150787.920000054</v>
      </c>
      <c r="L30" s="188">
        <v>9077716.9800000004</v>
      </c>
      <c r="M30" s="162">
        <f>VALTAX22!P35</f>
        <v>4.4579999999999993E-3</v>
      </c>
      <c r="N30" s="194">
        <f>L30*(VALTAX22!D35/'AFR-APR'!M30)</f>
        <v>3382253.903943473</v>
      </c>
      <c r="O30" s="188">
        <v>33399713.269999996</v>
      </c>
      <c r="P30" s="188">
        <v>7961039.1600000001</v>
      </c>
      <c r="Q30" s="188">
        <v>0</v>
      </c>
      <c r="R30" s="188">
        <v>638069.94999999995</v>
      </c>
      <c r="S30" s="188">
        <f t="shared" si="1"/>
        <v>45381076.283943474</v>
      </c>
      <c r="T30" s="188">
        <f t="shared" si="2"/>
        <v>-230288.36394342035</v>
      </c>
      <c r="U30" s="196">
        <f>[1]Districts!$S27</f>
        <v>4520.0777777777785</v>
      </c>
      <c r="V30" s="186">
        <f t="shared" si="3"/>
        <v>-50.947876400621986</v>
      </c>
      <c r="W30" s="197">
        <f t="shared" si="4"/>
        <v>0</v>
      </c>
      <c r="Y30" s="201"/>
      <c r="Z30" s="163"/>
      <c r="AA30" s="200"/>
    </row>
    <row r="31" spans="1:27">
      <c r="A31" s="160" t="s">
        <v>185</v>
      </c>
      <c r="B31" s="161">
        <v>27</v>
      </c>
      <c r="C31" s="138" t="s">
        <v>69</v>
      </c>
      <c r="D31" s="187">
        <v>31477494.930000041</v>
      </c>
      <c r="E31" s="188">
        <v>1667270.5800000003</v>
      </c>
      <c r="F31" s="189">
        <v>21055.34</v>
      </c>
      <c r="G31" s="189">
        <v>509881.42</v>
      </c>
      <c r="H31" s="188">
        <v>0</v>
      </c>
      <c r="I31" s="189">
        <v>84423.66</v>
      </c>
      <c r="J31" s="189">
        <v>357302.2</v>
      </c>
      <c r="K31" s="188">
        <f t="shared" si="0"/>
        <v>32703039.650000043</v>
      </c>
      <c r="L31" s="188">
        <v>4464045.13</v>
      </c>
      <c r="M31" s="162">
        <f>VALTAX22!P36</f>
        <v>4.4450000000000002E-3</v>
      </c>
      <c r="N31" s="194">
        <f>L31*(VALTAX22!D36/'AFR-APR'!M31)</f>
        <v>1668116.7516152977</v>
      </c>
      <c r="O31" s="188">
        <v>26488021.430000003</v>
      </c>
      <c r="P31" s="188">
        <v>3752566.36</v>
      </c>
      <c r="Q31" s="188">
        <v>1863262.16</v>
      </c>
      <c r="R31" s="188">
        <v>0</v>
      </c>
      <c r="S31" s="188">
        <f t="shared" si="1"/>
        <v>33771966.701615296</v>
      </c>
      <c r="T31" s="188">
        <f t="shared" si="2"/>
        <v>-1068927.0516152531</v>
      </c>
      <c r="U31" s="196">
        <f>[1]Districts!$S28</f>
        <v>3143.4222222222224</v>
      </c>
      <c r="V31" s="186">
        <f t="shared" si="3"/>
        <v>-340.05201212186569</v>
      </c>
      <c r="W31" s="197">
        <f t="shared" si="4"/>
        <v>0</v>
      </c>
      <c r="Y31" s="201"/>
      <c r="Z31" s="163"/>
      <c r="AA31" s="200"/>
    </row>
    <row r="32" spans="1:27">
      <c r="A32" s="160" t="s">
        <v>186</v>
      </c>
      <c r="B32" s="161">
        <v>28</v>
      </c>
      <c r="C32" s="138" t="s">
        <v>70</v>
      </c>
      <c r="D32" s="187">
        <v>21474590.059999991</v>
      </c>
      <c r="E32" s="188">
        <v>3226552.9099999992</v>
      </c>
      <c r="F32" s="189">
        <v>0</v>
      </c>
      <c r="G32" s="189">
        <v>0</v>
      </c>
      <c r="H32" s="188">
        <v>16932.099999999999</v>
      </c>
      <c r="I32" s="189">
        <v>2634.92</v>
      </c>
      <c r="J32" s="189">
        <v>2705851.88</v>
      </c>
      <c r="K32" s="188">
        <f t="shared" si="0"/>
        <v>21975724.069999989</v>
      </c>
      <c r="L32" s="188">
        <v>13443736.850000003</v>
      </c>
      <c r="M32" s="162">
        <f>VALTAX22!P37</f>
        <v>4.0639999999999999E-3</v>
      </c>
      <c r="N32" s="194">
        <f>L32*(VALTAX22!D37/'AFR-APR'!M32)</f>
        <v>5494598.1564591546</v>
      </c>
      <c r="O32" s="188">
        <v>7390739.6100000003</v>
      </c>
      <c r="P32" s="188">
        <v>723707.18000000017</v>
      </c>
      <c r="Q32" s="188">
        <v>0</v>
      </c>
      <c r="R32" s="188">
        <v>0</v>
      </c>
      <c r="S32" s="188">
        <f t="shared" si="1"/>
        <v>13609044.946459156</v>
      </c>
      <c r="T32" s="188">
        <f t="shared" si="2"/>
        <v>8366679.1235408336</v>
      </c>
      <c r="U32" s="196">
        <f>[1]Districts!$S29</f>
        <v>1655.0444444444445</v>
      </c>
      <c r="V32" s="186">
        <f t="shared" si="3"/>
        <v>5055.2594835900682</v>
      </c>
      <c r="W32" s="197">
        <f t="shared" si="4"/>
        <v>2527.63</v>
      </c>
      <c r="Y32" s="201"/>
      <c r="Z32" s="163"/>
      <c r="AA32" s="200"/>
    </row>
    <row r="33" spans="1:27">
      <c r="A33" s="160" t="s">
        <v>187</v>
      </c>
      <c r="B33" s="161">
        <v>29</v>
      </c>
      <c r="C33" s="138" t="s">
        <v>71</v>
      </c>
      <c r="D33" s="187">
        <v>4941345.7300000004</v>
      </c>
      <c r="E33" s="188">
        <v>716630.33000000007</v>
      </c>
      <c r="F33" s="189">
        <v>0</v>
      </c>
      <c r="G33" s="189">
        <v>0</v>
      </c>
      <c r="H33" s="188">
        <v>559803.79</v>
      </c>
      <c r="I33" s="189">
        <v>155426.54</v>
      </c>
      <c r="J33" s="189">
        <v>0</v>
      </c>
      <c r="K33" s="188">
        <f t="shared" si="0"/>
        <v>4942745.7300000004</v>
      </c>
      <c r="L33" s="188">
        <v>525947.49999999988</v>
      </c>
      <c r="M33" s="162">
        <f>VALTAX22!P38</f>
        <v>4.9529999999999999E-3</v>
      </c>
      <c r="N33" s="194">
        <f>L33*(VALTAX22!D38/'AFR-APR'!M33)</f>
        <v>176377.70997375323</v>
      </c>
      <c r="O33" s="188">
        <v>4547684.6500000004</v>
      </c>
      <c r="P33" s="188">
        <v>232352.76</v>
      </c>
      <c r="Q33" s="188">
        <v>200000</v>
      </c>
      <c r="R33" s="188">
        <v>0</v>
      </c>
      <c r="S33" s="188">
        <f t="shared" si="1"/>
        <v>5156415.1199737536</v>
      </c>
      <c r="T33" s="188">
        <f t="shared" si="2"/>
        <v>-213669.38997375313</v>
      </c>
      <c r="U33" s="196">
        <f>[1]Districts!$S30</f>
        <v>227.65555555555551</v>
      </c>
      <c r="V33" s="186">
        <f t="shared" si="3"/>
        <v>-938.56435636867513</v>
      </c>
      <c r="W33" s="197">
        <f t="shared" si="4"/>
        <v>0</v>
      </c>
      <c r="Y33" s="201"/>
      <c r="Z33" s="163"/>
      <c r="AA33" s="200"/>
    </row>
    <row r="34" spans="1:27">
      <c r="A34" s="160" t="s">
        <v>188</v>
      </c>
      <c r="B34" s="161">
        <v>30</v>
      </c>
      <c r="C34" s="138" t="s">
        <v>72</v>
      </c>
      <c r="D34" s="187">
        <v>175307177.50999999</v>
      </c>
      <c r="E34" s="188">
        <v>51252826.710000016</v>
      </c>
      <c r="F34" s="189">
        <v>467951.68</v>
      </c>
      <c r="G34" s="189">
        <v>876171.19</v>
      </c>
      <c r="H34" s="188">
        <v>2832787.7</v>
      </c>
      <c r="I34" s="189">
        <v>765505.46999999986</v>
      </c>
      <c r="J34" s="189">
        <v>34551086.950000003</v>
      </c>
      <c r="K34" s="188">
        <f t="shared" si="0"/>
        <v>188410624.10000002</v>
      </c>
      <c r="L34" s="188">
        <v>33382511.530000005</v>
      </c>
      <c r="M34" s="162">
        <f>VALTAX22!P39</f>
        <v>5.2550000000000001E-3</v>
      </c>
      <c r="N34" s="194">
        <f>L34*(VALTAX22!D39/'AFR-APR'!M34)</f>
        <v>10551541.70339296</v>
      </c>
      <c r="O34" s="188">
        <v>141170232.84</v>
      </c>
      <c r="P34" s="188">
        <v>10923461.440000001</v>
      </c>
      <c r="Q34" s="188">
        <v>8155439.2300000004</v>
      </c>
      <c r="R34" s="188">
        <v>298742.40000000002</v>
      </c>
      <c r="S34" s="188">
        <f t="shared" si="1"/>
        <v>171099417.61339295</v>
      </c>
      <c r="T34" s="188">
        <f t="shared" si="2"/>
        <v>17311206.486607075</v>
      </c>
      <c r="U34" s="196">
        <f>[1]Districts!$S31</f>
        <v>22841.95555555556</v>
      </c>
      <c r="V34" s="186">
        <f t="shared" si="3"/>
        <v>757.86884553309142</v>
      </c>
      <c r="W34" s="197">
        <f t="shared" si="4"/>
        <v>378.93</v>
      </c>
      <c r="Y34" s="201"/>
      <c r="Z34" s="163"/>
      <c r="AA34" s="200"/>
    </row>
    <row r="35" spans="1:27">
      <c r="A35" s="160" t="s">
        <v>189</v>
      </c>
      <c r="B35" s="161">
        <v>31</v>
      </c>
      <c r="C35" s="138" t="s">
        <v>109</v>
      </c>
      <c r="D35" s="187">
        <v>65376790.369999968</v>
      </c>
      <c r="E35" s="188">
        <v>6827928.3599999994</v>
      </c>
      <c r="F35" s="189">
        <v>0</v>
      </c>
      <c r="G35" s="189">
        <v>0</v>
      </c>
      <c r="H35" s="188">
        <v>72608.5</v>
      </c>
      <c r="I35" s="189">
        <v>0</v>
      </c>
      <c r="J35" s="189">
        <v>275846.40000000002</v>
      </c>
      <c r="K35" s="188">
        <f t="shared" si="0"/>
        <v>71856263.829999954</v>
      </c>
      <c r="L35" s="188">
        <v>18811397.73</v>
      </c>
      <c r="M35" s="162">
        <f>VALTAX22!P40</f>
        <v>4.5579999999999996E-3</v>
      </c>
      <c r="N35" s="194">
        <f>L35*(VALTAX22!D40/'AFR-APR'!M35)</f>
        <v>6855140.7699714797</v>
      </c>
      <c r="O35" s="188">
        <v>38974586.989999995</v>
      </c>
      <c r="P35" s="188">
        <v>7958717.4100000001</v>
      </c>
      <c r="Q35" s="188">
        <v>0</v>
      </c>
      <c r="R35" s="188">
        <v>0</v>
      </c>
      <c r="S35" s="188">
        <f t="shared" si="1"/>
        <v>53788445.169971481</v>
      </c>
      <c r="T35" s="188">
        <f t="shared" si="2"/>
        <v>18067818.660028473</v>
      </c>
      <c r="U35" s="196">
        <f>[1]Districts!$S32</f>
        <v>6660.416666666667</v>
      </c>
      <c r="V35" s="186">
        <f t="shared" si="3"/>
        <v>2712.715970226358</v>
      </c>
      <c r="W35" s="197">
        <f t="shared" si="4"/>
        <v>1356.36</v>
      </c>
      <c r="Y35" s="201"/>
      <c r="Z35" s="163"/>
      <c r="AA35" s="200"/>
    </row>
    <row r="36" spans="1:27">
      <c r="A36" s="160" t="s">
        <v>190</v>
      </c>
      <c r="B36" s="161">
        <v>32</v>
      </c>
      <c r="C36" s="138" t="s">
        <v>73</v>
      </c>
      <c r="D36" s="187">
        <v>84426757</v>
      </c>
      <c r="E36" s="188">
        <v>15607221</v>
      </c>
      <c r="F36" s="189">
        <v>0</v>
      </c>
      <c r="G36" s="189">
        <v>1901436</v>
      </c>
      <c r="H36" s="188">
        <v>3977034</v>
      </c>
      <c r="I36" s="189">
        <v>3170803</v>
      </c>
      <c r="J36" s="189">
        <v>0</v>
      </c>
      <c r="K36" s="188">
        <f>D36+E36-H36-I36-J36</f>
        <v>92886141</v>
      </c>
      <c r="L36" s="188">
        <v>47385810</v>
      </c>
      <c r="M36" s="162">
        <f>VALTAX22!P41</f>
        <v>5.4380000000000001E-3</v>
      </c>
      <c r="N36" s="194">
        <f>L36*(VALTAX22!D41/'AFR-APR'!M36)</f>
        <v>14473672.381390216</v>
      </c>
      <c r="O36" s="188">
        <v>38053523</v>
      </c>
      <c r="P36" s="188">
        <v>5514988</v>
      </c>
      <c r="Q36" s="188">
        <v>0</v>
      </c>
      <c r="R36" s="188">
        <v>0</v>
      </c>
      <c r="S36" s="188">
        <f t="shared" si="1"/>
        <v>58042183.381390214</v>
      </c>
      <c r="T36" s="188">
        <f t="shared" si="2"/>
        <v>34843957.618609786</v>
      </c>
      <c r="U36" s="196">
        <f>[1]Districts!$S33</f>
        <v>8669.4111111111106</v>
      </c>
      <c r="V36" s="186">
        <f t="shared" si="3"/>
        <v>4019.1839067306646</v>
      </c>
      <c r="W36" s="197">
        <f t="shared" si="4"/>
        <v>2009.59</v>
      </c>
      <c r="Y36" s="201"/>
      <c r="Z36" s="163"/>
      <c r="AA36" s="200"/>
    </row>
    <row r="37" spans="1:27">
      <c r="A37" s="160" t="s">
        <v>191</v>
      </c>
      <c r="B37" s="161">
        <v>33</v>
      </c>
      <c r="C37" s="138" t="s">
        <v>74</v>
      </c>
      <c r="D37" s="187">
        <v>285755885.85000068</v>
      </c>
      <c r="E37" s="188">
        <v>37275891.979999989</v>
      </c>
      <c r="F37" s="189">
        <v>0</v>
      </c>
      <c r="G37" s="189">
        <v>0</v>
      </c>
      <c r="H37" s="188">
        <v>4172689.2800000003</v>
      </c>
      <c r="I37" s="189">
        <v>27495604.519999996</v>
      </c>
      <c r="J37" s="189">
        <v>0</v>
      </c>
      <c r="K37" s="188">
        <f t="shared" si="0"/>
        <v>291363484.03000069</v>
      </c>
      <c r="L37" s="188">
        <v>91358595.570000008</v>
      </c>
      <c r="M37" s="162">
        <f>VALTAX22!P42</f>
        <v>3.4920000000000003E-3</v>
      </c>
      <c r="N37" s="194">
        <f>L37*(VALTAX22!D42/'AFR-APR'!M37)</f>
        <v>43455506.082981095</v>
      </c>
      <c r="O37" s="188">
        <v>171733647.86999997</v>
      </c>
      <c r="P37" s="188">
        <v>40352047.149999999</v>
      </c>
      <c r="Q37" s="188">
        <v>1256602.4099999999</v>
      </c>
      <c r="R37" s="188">
        <v>0</v>
      </c>
      <c r="S37" s="188">
        <f t="shared" si="1"/>
        <v>256797803.51298106</v>
      </c>
      <c r="T37" s="188">
        <f t="shared" si="2"/>
        <v>34565680.517019629</v>
      </c>
      <c r="U37" s="196">
        <f>[1]Districts!$S34</f>
        <v>34145.73333333333</v>
      </c>
      <c r="V37" s="186">
        <f t="shared" si="3"/>
        <v>1012.298672270024</v>
      </c>
      <c r="W37" s="197">
        <f t="shared" si="4"/>
        <v>506.15</v>
      </c>
      <c r="Y37" s="201"/>
      <c r="Z37" s="163"/>
      <c r="AA37" s="200"/>
    </row>
    <row r="38" spans="1:27">
      <c r="A38" s="160" t="s">
        <v>192</v>
      </c>
      <c r="B38" s="161">
        <v>34</v>
      </c>
      <c r="C38" s="138" t="s">
        <v>75</v>
      </c>
      <c r="D38" s="187">
        <v>6414307.4800000014</v>
      </c>
      <c r="E38" s="188">
        <v>36647.78</v>
      </c>
      <c r="F38" s="189">
        <v>0</v>
      </c>
      <c r="G38" s="189">
        <v>0</v>
      </c>
      <c r="H38" s="188">
        <v>0</v>
      </c>
      <c r="I38" s="189">
        <v>0</v>
      </c>
      <c r="J38" s="189">
        <v>10500</v>
      </c>
      <c r="K38" s="188">
        <f t="shared" si="0"/>
        <v>6440455.2600000016</v>
      </c>
      <c r="L38" s="188">
        <v>1743756.6500000006</v>
      </c>
      <c r="M38" s="162">
        <f>VALTAX22!P43</f>
        <v>3.4489999999999998E-3</v>
      </c>
      <c r="N38" s="194">
        <f>L38*(VALTAX22!D43/'AFR-APR'!M38)</f>
        <v>839773.78824296931</v>
      </c>
      <c r="O38" s="188">
        <v>5145752.66</v>
      </c>
      <c r="P38" s="188">
        <v>850302.77</v>
      </c>
      <c r="Q38" s="188">
        <v>100000</v>
      </c>
      <c r="R38" s="188">
        <v>0</v>
      </c>
      <c r="S38" s="188">
        <f t="shared" si="1"/>
        <v>6935829.2182429694</v>
      </c>
      <c r="T38" s="188">
        <f t="shared" si="2"/>
        <v>-495373.95824296772</v>
      </c>
      <c r="U38" s="196">
        <f>[1]Districts!$S35</f>
        <v>437.38888888888886</v>
      </c>
      <c r="V38" s="186">
        <f t="shared" si="3"/>
        <v>-1132.57097019858</v>
      </c>
      <c r="W38" s="197">
        <f t="shared" si="4"/>
        <v>0</v>
      </c>
      <c r="Y38" s="201"/>
      <c r="Z38" s="163"/>
      <c r="AA38" s="200"/>
    </row>
    <row r="39" spans="1:27">
      <c r="A39" s="160" t="s">
        <v>193</v>
      </c>
      <c r="B39" s="161">
        <v>35</v>
      </c>
      <c r="C39" s="138" t="s">
        <v>76</v>
      </c>
      <c r="D39" s="187">
        <v>284596643</v>
      </c>
      <c r="E39" s="188">
        <v>55885059</v>
      </c>
      <c r="F39" s="189">
        <v>11392</v>
      </c>
      <c r="G39" s="189">
        <v>3005835</v>
      </c>
      <c r="H39" s="188">
        <v>2766009</v>
      </c>
      <c r="I39" s="189">
        <v>39940861</v>
      </c>
      <c r="J39" s="189">
        <v>0</v>
      </c>
      <c r="K39" s="188">
        <f t="shared" si="0"/>
        <v>297774832</v>
      </c>
      <c r="L39" s="188">
        <v>58105903</v>
      </c>
      <c r="M39" s="162">
        <f>VALTAX22!P44</f>
        <v>3.2399999999999998E-3</v>
      </c>
      <c r="N39" s="194">
        <f>L39*(VALTAX22!D44/'AFR-APR'!M39)</f>
        <v>29788242.247839503</v>
      </c>
      <c r="O39" s="188">
        <v>193854883</v>
      </c>
      <c r="P39" s="188">
        <v>30659281</v>
      </c>
      <c r="Q39" s="188">
        <v>56572</v>
      </c>
      <c r="R39" s="188">
        <v>0</v>
      </c>
      <c r="S39" s="188">
        <f t="shared" si="1"/>
        <v>254358978.24783951</v>
      </c>
      <c r="T39" s="188">
        <f t="shared" si="2"/>
        <v>43415853.75216049</v>
      </c>
      <c r="U39" s="196">
        <f>[1]Districts!$S36</f>
        <v>32455.866666666661</v>
      </c>
      <c r="V39" s="186">
        <f t="shared" si="3"/>
        <v>1337.6889361192173</v>
      </c>
      <c r="W39" s="197">
        <f t="shared" si="4"/>
        <v>668.84</v>
      </c>
      <c r="Y39" s="201"/>
      <c r="Z39" s="163"/>
      <c r="AA39" s="200"/>
    </row>
    <row r="40" spans="1:27">
      <c r="A40" s="160" t="s">
        <v>194</v>
      </c>
      <c r="B40" s="161">
        <v>36</v>
      </c>
      <c r="C40" s="138" t="s">
        <v>77</v>
      </c>
      <c r="D40" s="187">
        <v>249249437.31999996</v>
      </c>
      <c r="E40" s="188">
        <v>23471204.019999992</v>
      </c>
      <c r="F40" s="189">
        <v>72877.679999999993</v>
      </c>
      <c r="G40" s="189">
        <v>78308.52</v>
      </c>
      <c r="H40" s="188">
        <v>0</v>
      </c>
      <c r="I40" s="189">
        <v>0</v>
      </c>
      <c r="J40" s="189">
        <v>16941590.760000002</v>
      </c>
      <c r="K40" s="188">
        <f t="shared" si="0"/>
        <v>255779050.57999998</v>
      </c>
      <c r="L40" s="188">
        <v>133662782.50999998</v>
      </c>
      <c r="M40" s="162">
        <f>VALTAX22!P45</f>
        <v>3.8989999999999997E-3</v>
      </c>
      <c r="N40" s="194">
        <f>L40*(VALTAX22!D45/'AFR-APR'!M40)</f>
        <v>56941236.663018711</v>
      </c>
      <c r="O40" s="188">
        <v>78054267.290000007</v>
      </c>
      <c r="P40" s="188">
        <v>29371996.940000001</v>
      </c>
      <c r="Q40" s="188">
        <v>0</v>
      </c>
      <c r="R40" s="188">
        <v>1238803.92</v>
      </c>
      <c r="S40" s="188">
        <f t="shared" si="1"/>
        <v>165606304.81301871</v>
      </c>
      <c r="T40" s="188">
        <f t="shared" si="2"/>
        <v>90172745.766981274</v>
      </c>
      <c r="U40" s="196">
        <f>[1]Districts!$S37</f>
        <v>19591.294444444444</v>
      </c>
      <c r="V40" s="186">
        <f t="shared" si="3"/>
        <v>4602.6946316736003</v>
      </c>
      <c r="W40" s="197">
        <f t="shared" si="4"/>
        <v>2301.35</v>
      </c>
      <c r="Y40" s="201"/>
      <c r="Z40" s="163"/>
      <c r="AA40" s="200"/>
    </row>
    <row r="41" spans="1:27">
      <c r="A41" s="160" t="s">
        <v>195</v>
      </c>
      <c r="B41" s="161">
        <v>37</v>
      </c>
      <c r="C41" s="138" t="s">
        <v>78</v>
      </c>
      <c r="D41" s="187">
        <v>112013191.35999992</v>
      </c>
      <c r="E41" s="188">
        <v>42860857.330000013</v>
      </c>
      <c r="F41" s="189">
        <v>3420107.28</v>
      </c>
      <c r="G41" s="189">
        <v>3621055.56</v>
      </c>
      <c r="H41" s="188">
        <v>0</v>
      </c>
      <c r="I41" s="189">
        <v>0</v>
      </c>
      <c r="J41" s="189">
        <v>28761931.869999997</v>
      </c>
      <c r="K41" s="188">
        <f t="shared" si="0"/>
        <v>126112116.81999993</v>
      </c>
      <c r="L41" s="188">
        <v>30982454.629999995</v>
      </c>
      <c r="M41" s="162">
        <f>VALTAX22!P46</f>
        <v>4.2360000000000002E-3</v>
      </c>
      <c r="N41" s="194">
        <f>L41*(VALTAX22!D46/'AFR-APR'!M41)</f>
        <v>12148691.487353634</v>
      </c>
      <c r="O41" s="188">
        <v>61442430.379999995</v>
      </c>
      <c r="P41" s="188">
        <v>20673328.110000003</v>
      </c>
      <c r="Q41" s="188">
        <v>30108</v>
      </c>
      <c r="R41" s="188">
        <v>2408030.2800000003</v>
      </c>
      <c r="S41" s="188">
        <f t="shared" si="1"/>
        <v>96702588.257353634</v>
      </c>
      <c r="T41" s="188">
        <f t="shared" si="2"/>
        <v>29409528.5626463</v>
      </c>
      <c r="U41" s="196">
        <f>[1]Districts!$S38</f>
        <v>10358.677777777779</v>
      </c>
      <c r="V41" s="186">
        <f t="shared" si="3"/>
        <v>2839.1199334086682</v>
      </c>
      <c r="W41" s="197">
        <f t="shared" si="4"/>
        <v>1419.56</v>
      </c>
      <c r="Y41" s="201"/>
      <c r="Z41" s="163"/>
      <c r="AA41" s="200"/>
    </row>
    <row r="42" spans="1:27">
      <c r="A42" s="160" t="s">
        <v>196</v>
      </c>
      <c r="B42" s="161">
        <v>38</v>
      </c>
      <c r="C42" s="138" t="s">
        <v>79</v>
      </c>
      <c r="D42" s="187">
        <v>136832982.94000033</v>
      </c>
      <c r="E42" s="188">
        <v>39843239.580000006</v>
      </c>
      <c r="F42" s="189">
        <v>79413.19</v>
      </c>
      <c r="G42" s="189">
        <v>26726.68</v>
      </c>
      <c r="H42" s="188">
        <v>0</v>
      </c>
      <c r="I42" s="189">
        <v>0</v>
      </c>
      <c r="J42" s="189">
        <v>32328229.5</v>
      </c>
      <c r="K42" s="188">
        <f t="shared" si="0"/>
        <v>144347993.02000034</v>
      </c>
      <c r="L42" s="188">
        <v>35541842.240000002</v>
      </c>
      <c r="M42" s="162">
        <f>VALTAX22!P47</f>
        <v>4.3059999999999999E-3</v>
      </c>
      <c r="N42" s="194">
        <f>L42*(VALTAX22!D47/'AFR-APR'!M42)</f>
        <v>13709939.609995356</v>
      </c>
      <c r="O42" s="188">
        <v>77841829.040000007</v>
      </c>
      <c r="P42" s="188">
        <v>19690192.760000002</v>
      </c>
      <c r="Q42" s="188">
        <v>0</v>
      </c>
      <c r="R42" s="188">
        <v>0</v>
      </c>
      <c r="S42" s="188">
        <f t="shared" si="1"/>
        <v>111241961.40999536</v>
      </c>
      <c r="T42" s="188">
        <f t="shared" si="2"/>
        <v>33106031.610004976</v>
      </c>
      <c r="U42" s="196">
        <f>[1]Districts!$S39</f>
        <v>13526.594444444443</v>
      </c>
      <c r="V42" s="186">
        <f t="shared" si="3"/>
        <v>2447.4772083968314</v>
      </c>
      <c r="W42" s="197">
        <f t="shared" si="4"/>
        <v>1223.74</v>
      </c>
      <c r="Y42" s="201"/>
      <c r="Z42" s="163"/>
      <c r="AA42" s="200"/>
    </row>
    <row r="43" spans="1:27">
      <c r="A43" s="160" t="s">
        <v>197</v>
      </c>
      <c r="B43" s="161">
        <v>39</v>
      </c>
      <c r="C43" s="138" t="s">
        <v>80</v>
      </c>
      <c r="D43" s="187">
        <v>56063809.460000008</v>
      </c>
      <c r="E43" s="188">
        <v>11603672.519999998</v>
      </c>
      <c r="F43" s="189">
        <v>137901.31</v>
      </c>
      <c r="G43" s="189">
        <v>1159268.44</v>
      </c>
      <c r="H43" s="188">
        <v>17657.379999999997</v>
      </c>
      <c r="I43" s="189">
        <v>18028.16</v>
      </c>
      <c r="J43" s="189">
        <v>7707558.4200000009</v>
      </c>
      <c r="K43" s="188">
        <f t="shared" si="0"/>
        <v>59924238.020000011</v>
      </c>
      <c r="L43" s="188">
        <v>17555154.82</v>
      </c>
      <c r="M43" s="162">
        <f>VALTAX22!P48</f>
        <v>4.581E-3</v>
      </c>
      <c r="N43" s="194">
        <f>L43*(VALTAX22!D48/'AFR-APR'!M43)</f>
        <v>6365228.5867758133</v>
      </c>
      <c r="O43" s="188">
        <v>28984807.25</v>
      </c>
      <c r="P43" s="188">
        <v>10437506.140000001</v>
      </c>
      <c r="Q43" s="188">
        <v>0</v>
      </c>
      <c r="R43" s="188">
        <v>0</v>
      </c>
      <c r="S43" s="188">
        <f t="shared" si="1"/>
        <v>45787541.97677581</v>
      </c>
      <c r="T43" s="188">
        <f t="shared" si="2"/>
        <v>14136696.043224201</v>
      </c>
      <c r="U43" s="196">
        <f>[1]Districts!$S40</f>
        <v>5195.7777777777783</v>
      </c>
      <c r="V43" s="186">
        <f t="shared" si="3"/>
        <v>2720.8045932384798</v>
      </c>
      <c r="W43" s="197">
        <f t="shared" si="4"/>
        <v>1360.4</v>
      </c>
      <c r="Y43" s="201"/>
      <c r="Z43" s="163"/>
      <c r="AA43" s="200"/>
    </row>
    <row r="44" spans="1:27">
      <c r="A44" s="160" t="s">
        <v>198</v>
      </c>
      <c r="B44" s="161">
        <v>40</v>
      </c>
      <c r="C44" s="138" t="s">
        <v>81</v>
      </c>
      <c r="D44" s="187">
        <v>59039849</v>
      </c>
      <c r="E44" s="188">
        <v>3268487</v>
      </c>
      <c r="F44" s="189">
        <v>214370</v>
      </c>
      <c r="G44" s="189">
        <v>340000</v>
      </c>
      <c r="H44" s="188">
        <v>563195</v>
      </c>
      <c r="I44" s="189">
        <v>0</v>
      </c>
      <c r="J44" s="189">
        <v>42595</v>
      </c>
      <c r="K44" s="188">
        <f t="shared" si="0"/>
        <v>61702546</v>
      </c>
      <c r="L44" s="188">
        <v>23440980</v>
      </c>
      <c r="M44" s="162">
        <f>VALTAX22!P49</f>
        <v>4.5490000000000001E-3</v>
      </c>
      <c r="N44" s="194">
        <f>L44*(VALTAX22!D49/'AFR-APR'!M44)</f>
        <v>8559126.7927016914</v>
      </c>
      <c r="O44" s="188">
        <v>29233094</v>
      </c>
      <c r="P44" s="188">
        <v>5373605</v>
      </c>
      <c r="Q44" s="188">
        <v>179</v>
      </c>
      <c r="R44" s="188">
        <v>0</v>
      </c>
      <c r="S44" s="188">
        <f t="shared" si="1"/>
        <v>43166004.792701691</v>
      </c>
      <c r="T44" s="188">
        <f t="shared" si="2"/>
        <v>18536541.207298309</v>
      </c>
      <c r="U44" s="196">
        <f>[1]Districts!$S41</f>
        <v>5899</v>
      </c>
      <c r="V44" s="186">
        <f t="shared" si="3"/>
        <v>3142.3192417864566</v>
      </c>
      <c r="W44" s="197">
        <f t="shared" si="4"/>
        <v>1571.16</v>
      </c>
      <c r="Y44" s="201"/>
      <c r="Z44" s="163"/>
      <c r="AA44" s="200"/>
    </row>
    <row r="45" spans="1:27">
      <c r="A45" s="164" t="s">
        <v>199</v>
      </c>
      <c r="B45" s="165">
        <v>42</v>
      </c>
      <c r="C45" s="166" t="s">
        <v>112</v>
      </c>
      <c r="D45" s="190">
        <v>333086102.6200012</v>
      </c>
      <c r="E45" s="191">
        <v>102197528.90000001</v>
      </c>
      <c r="F45" s="192">
        <v>1479920.49</v>
      </c>
      <c r="G45" s="192">
        <v>112407.87</v>
      </c>
      <c r="H45" s="191">
        <v>2440458.89</v>
      </c>
      <c r="I45" s="192">
        <v>2075724.85</v>
      </c>
      <c r="J45" s="192">
        <v>88038030.799999982</v>
      </c>
      <c r="K45" s="191">
        <f t="shared" si="0"/>
        <v>342729416.98000121</v>
      </c>
      <c r="L45" s="191">
        <v>134319788.78</v>
      </c>
      <c r="M45" s="162">
        <f>VALTAX22!P50</f>
        <v>4.6030000000000003E-3</v>
      </c>
      <c r="N45" s="194">
        <f>L45*(VALTAX22!D50/'AFR-APR'!M45)</f>
        <v>48469513.179139689</v>
      </c>
      <c r="O45" s="191">
        <v>158714360.54000002</v>
      </c>
      <c r="P45" s="191">
        <v>33609924.57</v>
      </c>
      <c r="Q45" s="191">
        <v>0</v>
      </c>
      <c r="R45" s="191">
        <v>0</v>
      </c>
      <c r="S45" s="188">
        <f t="shared" si="1"/>
        <v>240793798.28913969</v>
      </c>
      <c r="T45" s="188">
        <f t="shared" si="2"/>
        <v>101935618.69086152</v>
      </c>
      <c r="U45" s="196">
        <f>[1]Districts!$S42</f>
        <v>32797.927777777775</v>
      </c>
      <c r="V45" s="186">
        <f t="shared" si="3"/>
        <v>3107.9896078046727</v>
      </c>
      <c r="W45" s="197">
        <f t="shared" si="4"/>
        <v>1553.99</v>
      </c>
      <c r="Y45" s="201"/>
      <c r="Z45" s="163"/>
      <c r="AA45" s="200"/>
    </row>
    <row r="46" spans="1:27" s="171" customFormat="1">
      <c r="A46" s="167"/>
      <c r="B46" s="167"/>
      <c r="C46" s="168"/>
      <c r="D46" s="193">
        <f>SUM(D5:D45)</f>
        <v>5480949398.449996</v>
      </c>
      <c r="E46" s="193">
        <f t="shared" ref="E46:V46" si="5">SUM(E5:E45)</f>
        <v>862075790.63</v>
      </c>
      <c r="F46" s="193">
        <f t="shared" si="5"/>
        <v>16453109.41</v>
      </c>
      <c r="G46" s="193">
        <f t="shared" si="5"/>
        <v>27145631.68</v>
      </c>
      <c r="H46" s="193">
        <f t="shared" si="5"/>
        <v>44357987.160000011</v>
      </c>
      <c r="I46" s="193">
        <f t="shared" si="5"/>
        <v>100859573.69999999</v>
      </c>
      <c r="J46" s="193">
        <f t="shared" si="5"/>
        <v>479872847.02999985</v>
      </c>
      <c r="K46" s="193">
        <f t="shared" si="5"/>
        <v>5717934781.1899986</v>
      </c>
      <c r="L46" s="193">
        <f t="shared" si="5"/>
        <v>1587275247.8700001</v>
      </c>
      <c r="M46" s="198">
        <f t="shared" si="5"/>
        <v>0.178483</v>
      </c>
      <c r="N46" s="195">
        <f t="shared" si="5"/>
        <v>628596918.38127196</v>
      </c>
      <c r="O46" s="195">
        <f t="shared" si="5"/>
        <v>3304979389.9699988</v>
      </c>
      <c r="P46" s="195">
        <f t="shared" si="5"/>
        <v>592666607.78000009</v>
      </c>
      <c r="Q46" s="195">
        <v>34328118.269999996</v>
      </c>
      <c r="R46" s="195">
        <f t="shared" si="5"/>
        <v>8122759.4800000004</v>
      </c>
      <c r="S46" s="195">
        <f t="shared" si="5"/>
        <v>4568693793.8812714</v>
      </c>
      <c r="T46" s="195">
        <f t="shared" si="5"/>
        <v>1149240987.3087256</v>
      </c>
      <c r="U46" s="198">
        <f t="shared" si="5"/>
        <v>588551.51111111103</v>
      </c>
      <c r="V46" s="195">
        <f t="shared" si="5"/>
        <v>102819.27075542549</v>
      </c>
      <c r="W46" s="199">
        <f>AVERAGE(W5:W45)</f>
        <v>1316.0163414634144</v>
      </c>
      <c r="X46" s="169"/>
      <c r="Y46" s="169"/>
      <c r="Z46" s="170"/>
    </row>
    <row r="47" spans="1:27">
      <c r="A47" s="138"/>
      <c r="B47" s="138"/>
      <c r="C47" s="138"/>
      <c r="D47" s="172"/>
      <c r="E47" s="172"/>
      <c r="F47" s="172"/>
      <c r="G47" s="172"/>
      <c r="H47" s="172"/>
      <c r="I47" s="172"/>
      <c r="J47" s="172"/>
      <c r="K47" s="172"/>
      <c r="L47" s="172"/>
      <c r="M47" s="140"/>
      <c r="N47" s="172"/>
      <c r="O47" s="47"/>
      <c r="P47" s="47"/>
      <c r="Q47" s="47"/>
      <c r="R47" s="47"/>
      <c r="S47" s="172"/>
      <c r="T47" s="172"/>
      <c r="U47" s="173"/>
      <c r="V47" s="174"/>
      <c r="W47" s="175"/>
      <c r="X47" s="176"/>
      <c r="Y47" s="176"/>
      <c r="Z47" s="176"/>
    </row>
    <row r="48" spans="1:27" s="153" customFormat="1" ht="58.3">
      <c r="A48" s="177"/>
      <c r="B48" s="177"/>
      <c r="C48" s="177"/>
      <c r="D48" s="178" t="s">
        <v>217</v>
      </c>
      <c r="E48" s="178" t="s">
        <v>218</v>
      </c>
      <c r="F48" s="178" t="s">
        <v>219</v>
      </c>
      <c r="G48" s="178" t="s">
        <v>220</v>
      </c>
      <c r="H48" s="178" t="s">
        <v>221</v>
      </c>
      <c r="I48" s="178" t="s">
        <v>222</v>
      </c>
      <c r="J48" s="178" t="s">
        <v>223</v>
      </c>
      <c r="L48" s="178" t="s">
        <v>224</v>
      </c>
      <c r="M48" s="179"/>
      <c r="O48" s="178" t="s">
        <v>225</v>
      </c>
      <c r="P48" s="178" t="s">
        <v>226</v>
      </c>
      <c r="Q48" s="178" t="s">
        <v>227</v>
      </c>
      <c r="R48" s="178" t="s">
        <v>228</v>
      </c>
    </row>
    <row r="49" spans="1:17" s="181" customFormat="1">
      <c r="A49" s="180"/>
      <c r="B49" s="180"/>
      <c r="C49" s="180"/>
      <c r="K49" s="182"/>
      <c r="L49" s="183"/>
      <c r="M49" s="184"/>
      <c r="Q49" s="183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E62D7-DADF-4EAD-BAFC-412E2DD042CF}">
  <sheetPr syncVertical="1" syncRef="D10" transitionEvaluation="1"/>
  <dimension ref="A1:W57"/>
  <sheetViews>
    <sheetView showGridLines="0" zoomScaleNormal="100" workbookViewId="0">
      <pane xSplit="2" ySplit="9" topLeftCell="D10" activePane="bottomRight" state="frozen"/>
      <selection activeCell="A104" sqref="A104"/>
      <selection pane="topRight" activeCell="B104" sqref="B104"/>
      <selection pane="bottomLeft" activeCell="A104" sqref="A104"/>
      <selection pane="bottomRight" activeCell="I10" sqref="I10"/>
    </sheetView>
  </sheetViews>
  <sheetFormatPr defaultColWidth="8.84375" defaultRowHeight="11.6"/>
  <cols>
    <col min="1" max="1" width="3.07421875" style="48" bestFit="1" customWidth="1"/>
    <col min="2" max="2" width="13.53515625" style="48" customWidth="1"/>
    <col min="3" max="3" width="15.53515625" style="48" bestFit="1" customWidth="1"/>
    <col min="4" max="4" width="13.4609375" style="48" bestFit="1" customWidth="1"/>
    <col min="5" max="6" width="10.921875" style="48" bestFit="1" customWidth="1"/>
    <col min="7" max="7" width="11.53515625" style="48" bestFit="1" customWidth="1"/>
    <col min="8" max="12" width="10.921875" style="48" bestFit="1" customWidth="1"/>
    <col min="13" max="13" width="3.3828125" style="48" customWidth="1"/>
    <col min="14" max="14" width="9.765625" style="52" customWidth="1"/>
    <col min="15" max="15" width="10.84375" style="48" customWidth="1"/>
    <col min="16" max="16" width="10.15234375" style="48" bestFit="1" customWidth="1"/>
    <col min="17" max="17" width="8.84375" style="48"/>
    <col min="18" max="19" width="9.53515625" style="48" bestFit="1" customWidth="1"/>
    <col min="20" max="16384" width="8.84375" style="48"/>
  </cols>
  <sheetData>
    <row r="1" spans="1:23">
      <c r="B1" s="214" t="s">
        <v>101</v>
      </c>
      <c r="C1" s="214"/>
      <c r="D1" s="214"/>
      <c r="E1" s="214"/>
      <c r="F1" s="214"/>
      <c r="G1" s="214"/>
      <c r="H1" s="214"/>
      <c r="I1" s="214"/>
      <c r="J1" s="214"/>
      <c r="K1" s="214"/>
      <c r="L1" s="49"/>
    </row>
    <row r="2" spans="1:23" ht="12.45">
      <c r="B2" s="214" t="s">
        <v>114</v>
      </c>
      <c r="C2" s="214"/>
      <c r="D2" s="214"/>
      <c r="E2" s="214"/>
      <c r="F2" s="214"/>
      <c r="G2" s="214"/>
      <c r="H2" s="214"/>
      <c r="I2" s="214"/>
      <c r="J2" s="214"/>
      <c r="K2" s="214"/>
      <c r="L2" s="50"/>
    </row>
    <row r="3" spans="1:23" ht="12.9" thickBot="1">
      <c r="B3" s="214" t="s">
        <v>210</v>
      </c>
      <c r="C3" s="214"/>
      <c r="D3" s="214"/>
      <c r="E3" s="214"/>
      <c r="F3" s="214"/>
      <c r="G3" s="214"/>
      <c r="H3" s="214"/>
      <c r="I3" s="214"/>
      <c r="J3" s="214"/>
      <c r="K3" s="214"/>
      <c r="L3" s="51"/>
    </row>
    <row r="4" spans="1:23">
      <c r="A4" s="52"/>
      <c r="B4" s="53" t="s">
        <v>116</v>
      </c>
      <c r="C4" s="54"/>
      <c r="D4" s="55"/>
      <c r="E4" s="56">
        <v>2.5000000000000001E-3</v>
      </c>
      <c r="F4" s="56">
        <v>2.5000000000000001E-3</v>
      </c>
      <c r="G4" s="56"/>
      <c r="H4" s="56">
        <v>3.0000000000000001E-3</v>
      </c>
      <c r="I4" s="56">
        <v>2E-3</v>
      </c>
      <c r="J4" s="57" t="s">
        <v>117</v>
      </c>
      <c r="K4" s="55"/>
      <c r="L4" s="58"/>
    </row>
    <row r="5" spans="1:23">
      <c r="A5" s="52"/>
      <c r="B5" s="59" t="s">
        <v>118</v>
      </c>
      <c r="C5" s="60"/>
      <c r="D5" s="61">
        <v>210</v>
      </c>
      <c r="E5" s="62">
        <v>525</v>
      </c>
      <c r="F5" s="62">
        <v>526</v>
      </c>
      <c r="G5" s="62">
        <v>527</v>
      </c>
      <c r="H5" s="61">
        <v>246</v>
      </c>
      <c r="I5" s="62">
        <v>510</v>
      </c>
      <c r="J5" s="61">
        <v>230</v>
      </c>
      <c r="K5" s="63">
        <v>190</v>
      </c>
      <c r="L5" s="64" t="s">
        <v>84</v>
      </c>
      <c r="M5" s="65"/>
      <c r="N5" s="203" t="s">
        <v>84</v>
      </c>
      <c r="O5" s="65"/>
      <c r="P5" s="65"/>
    </row>
    <row r="6" spans="1:23" s="70" customFormat="1" ht="15.9">
      <c r="A6" s="67"/>
      <c r="B6" s="68"/>
      <c r="C6" s="63" t="s">
        <v>205</v>
      </c>
      <c r="D6" s="61" t="s">
        <v>206</v>
      </c>
      <c r="E6" s="61" t="s">
        <v>92</v>
      </c>
      <c r="F6" s="61" t="s">
        <v>92</v>
      </c>
      <c r="G6" s="61" t="s">
        <v>145</v>
      </c>
      <c r="H6" s="61" t="s">
        <v>94</v>
      </c>
      <c r="I6" s="61" t="s">
        <v>91</v>
      </c>
      <c r="J6" s="61" t="s">
        <v>113</v>
      </c>
      <c r="K6" s="61" t="s">
        <v>129</v>
      </c>
      <c r="L6" s="64" t="s">
        <v>207</v>
      </c>
      <c r="M6" s="69"/>
      <c r="N6" s="203" t="s">
        <v>99</v>
      </c>
      <c r="O6" s="69"/>
      <c r="P6" s="14" t="s">
        <v>132</v>
      </c>
      <c r="Q6" s="29"/>
      <c r="R6" s="44"/>
      <c r="S6" s="14"/>
      <c r="T6" s="69"/>
      <c r="U6" s="69"/>
      <c r="W6" s="71"/>
    </row>
    <row r="7" spans="1:23" s="70" customFormat="1" ht="15.9">
      <c r="A7" s="67"/>
      <c r="B7" s="72" t="s">
        <v>87</v>
      </c>
      <c r="C7" s="73" t="s">
        <v>146</v>
      </c>
      <c r="D7" s="74" t="s">
        <v>93</v>
      </c>
      <c r="E7" s="74" t="s">
        <v>119</v>
      </c>
      <c r="F7" s="74" t="s">
        <v>119</v>
      </c>
      <c r="G7" s="74" t="s">
        <v>147</v>
      </c>
      <c r="H7" s="74" t="s">
        <v>82</v>
      </c>
      <c r="I7" s="74" t="s">
        <v>82</v>
      </c>
      <c r="J7" s="75" t="s">
        <v>120</v>
      </c>
      <c r="K7" s="74" t="s">
        <v>130</v>
      </c>
      <c r="L7" s="76" t="s">
        <v>103</v>
      </c>
      <c r="M7" s="66"/>
      <c r="N7" s="203" t="s">
        <v>208</v>
      </c>
      <c r="O7" s="66"/>
      <c r="P7" s="14" t="s">
        <v>121</v>
      </c>
      <c r="Q7" s="29"/>
      <c r="R7" s="44"/>
      <c r="S7" s="14"/>
      <c r="T7" s="66"/>
      <c r="U7" s="66"/>
      <c r="V7" s="71"/>
      <c r="W7" s="71"/>
    </row>
    <row r="8" spans="1:23" s="70" customFormat="1" ht="15.9">
      <c r="A8" s="67"/>
      <c r="B8" s="68"/>
      <c r="C8" s="73" t="s">
        <v>148</v>
      </c>
      <c r="D8" s="74" t="s">
        <v>95</v>
      </c>
      <c r="E8" s="209">
        <v>2.5000000000000001E-3</v>
      </c>
      <c r="F8" s="77">
        <v>2.5000000000000001E-3</v>
      </c>
      <c r="G8" s="77"/>
      <c r="H8" s="74" t="s">
        <v>122</v>
      </c>
      <c r="I8" s="74" t="s">
        <v>122</v>
      </c>
      <c r="J8" s="74"/>
      <c r="K8" s="75" t="s">
        <v>133</v>
      </c>
      <c r="L8" s="76" t="s">
        <v>104</v>
      </c>
      <c r="M8" s="66"/>
      <c r="N8" s="203" t="s">
        <v>119</v>
      </c>
      <c r="O8" s="66"/>
      <c r="P8" s="14" t="s">
        <v>105</v>
      </c>
      <c r="Q8" s="28"/>
      <c r="R8" s="45" t="s">
        <v>158</v>
      </c>
      <c r="S8" s="45"/>
      <c r="T8" s="66"/>
      <c r="U8" s="66"/>
      <c r="V8" s="71"/>
      <c r="W8" s="71"/>
    </row>
    <row r="9" spans="1:23" s="70" customFormat="1" ht="33.75" customHeight="1" thickBot="1">
      <c r="A9" s="67"/>
      <c r="B9" s="78"/>
      <c r="C9" s="79" t="s">
        <v>209</v>
      </c>
      <c r="D9" s="80" t="s">
        <v>149</v>
      </c>
      <c r="E9" s="80" t="s">
        <v>150</v>
      </c>
      <c r="F9" s="80" t="s">
        <v>150</v>
      </c>
      <c r="G9" s="80" t="s">
        <v>151</v>
      </c>
      <c r="H9" s="80" t="s">
        <v>152</v>
      </c>
      <c r="I9" s="80" t="s">
        <v>153</v>
      </c>
      <c r="J9" s="80" t="s">
        <v>115</v>
      </c>
      <c r="K9" s="80" t="s">
        <v>131</v>
      </c>
      <c r="L9" s="81" t="s">
        <v>106</v>
      </c>
      <c r="M9" s="66"/>
      <c r="N9" s="203"/>
      <c r="O9" s="66"/>
      <c r="P9" s="14" t="s">
        <v>123</v>
      </c>
      <c r="Q9" s="28"/>
      <c r="R9" s="14"/>
      <c r="S9" s="14"/>
      <c r="T9" s="66"/>
      <c r="U9" s="66"/>
      <c r="W9" s="71"/>
    </row>
    <row r="10" spans="1:23" ht="15.9">
      <c r="A10" s="82">
        <v>1</v>
      </c>
      <c r="B10" s="83" t="s">
        <v>43</v>
      </c>
      <c r="C10" s="84">
        <f>'[2]AVTRP22 Table'!$G9</f>
        <v>37021275022</v>
      </c>
      <c r="D10" s="85">
        <f>[3]Table!C3</f>
        <v>1.6609999999999999E-3</v>
      </c>
      <c r="E10" s="86">
        <f>[3]Table!D3</f>
        <v>5.5900000000000004E-4</v>
      </c>
      <c r="F10" s="86">
        <f>[3]Table!E3</f>
        <v>0</v>
      </c>
      <c r="G10" s="85">
        <f>[3]Table!F3</f>
        <v>6.2000000000000003E-5</v>
      </c>
      <c r="H10" s="86">
        <f>[3]Table!G3</f>
        <v>8.03E-4</v>
      </c>
      <c r="I10" s="86">
        <f>[3]Table!H3</f>
        <v>1.6000000000000001E-3</v>
      </c>
      <c r="J10" s="85">
        <f>[3]Table!I3</f>
        <v>2.2190000000000001E-3</v>
      </c>
      <c r="K10" s="86">
        <f>[3]Table!J3</f>
        <v>0</v>
      </c>
      <c r="L10" s="87">
        <f t="shared" ref="L10:L50" si="0">+SUM(D10:K10)</f>
        <v>6.9040000000000004E-3</v>
      </c>
      <c r="M10" s="88"/>
      <c r="N10" s="204">
        <f>L10-G10</f>
        <v>6.842E-3</v>
      </c>
      <c r="O10" s="90"/>
      <c r="P10" s="15">
        <f>D10+E10+F10+I10</f>
        <v>3.8199999999999996E-3</v>
      </c>
      <c r="Q10" s="26"/>
      <c r="R10" s="46">
        <f>P10+K10+J10+H10+G10</f>
        <v>6.9039999999999995E-3</v>
      </c>
      <c r="S10" s="46">
        <f>R10-L10</f>
        <v>0</v>
      </c>
      <c r="T10" s="88"/>
      <c r="U10" s="88"/>
      <c r="V10" s="88"/>
      <c r="W10" s="92"/>
    </row>
    <row r="11" spans="1:23" ht="15.9">
      <c r="A11" s="82">
        <v>2</v>
      </c>
      <c r="B11" s="93" t="s">
        <v>44</v>
      </c>
      <c r="C11" s="94">
        <f>'[2]AVTRP22 Table'!$G10</f>
        <v>1503877049</v>
      </c>
      <c r="D11" s="95">
        <f>[3]Table!C4</f>
        <v>1.6609999999999999E-3</v>
      </c>
      <c r="E11" s="96">
        <f>[3]Table!D4</f>
        <v>1.7930000000000001E-3</v>
      </c>
      <c r="F11" s="96">
        <f>[3]Table!E4</f>
        <v>0</v>
      </c>
      <c r="G11" s="95">
        <f>[3]Table!F4</f>
        <v>1.9999999999999999E-6</v>
      </c>
      <c r="H11" s="96">
        <f>[3]Table!G4</f>
        <v>8.12E-4</v>
      </c>
      <c r="I11" s="96">
        <f>[3]Table!H4</f>
        <v>9.0799999999999995E-4</v>
      </c>
      <c r="J11" s="95">
        <f>[3]Table!I4</f>
        <v>9.1299999999999997E-4</v>
      </c>
      <c r="K11" s="96">
        <f>[3]Table!J4</f>
        <v>0</v>
      </c>
      <c r="L11" s="97">
        <f t="shared" si="0"/>
        <v>6.0889999999999998E-3</v>
      </c>
      <c r="M11" s="98"/>
      <c r="N11" s="204">
        <f t="shared" ref="N11:N50" si="1">L11-G11</f>
        <v>6.0869999999999995E-3</v>
      </c>
      <c r="O11" s="32"/>
      <c r="P11" s="15">
        <f t="shared" ref="P11:P50" si="2">D11+E11+F11+I11</f>
        <v>4.3619999999999996E-3</v>
      </c>
      <c r="Q11" s="26"/>
      <c r="R11" s="46">
        <f t="shared" ref="R11:R50" si="3">P11+K11+J11+H11+G11</f>
        <v>6.0889999999999998E-3</v>
      </c>
      <c r="S11" s="46">
        <f t="shared" ref="S11:S50" si="4">R11-L11</f>
        <v>0</v>
      </c>
      <c r="T11" s="30"/>
      <c r="U11" s="30"/>
      <c r="V11" s="30"/>
      <c r="W11" s="92"/>
    </row>
    <row r="12" spans="1:23" ht="15.9">
      <c r="A12" s="82">
        <v>3</v>
      </c>
      <c r="B12" s="93" t="s">
        <v>45</v>
      </c>
      <c r="C12" s="94">
        <f>'[2]AVTRP22 Table'!$G11</f>
        <v>5663720548</v>
      </c>
      <c r="D12" s="95">
        <f>[3]Table!C5</f>
        <v>1.6609999999999999E-3</v>
      </c>
      <c r="E12" s="96">
        <f>[3]Table!D5</f>
        <v>0</v>
      </c>
      <c r="F12" s="96">
        <f>[3]Table!E5</f>
        <v>2.202E-3</v>
      </c>
      <c r="G12" s="95">
        <f>[3]Table!F5</f>
        <v>6.8999999999999997E-5</v>
      </c>
      <c r="H12" s="96">
        <f>[3]Table!G5</f>
        <v>1.771E-3</v>
      </c>
      <c r="I12" s="96">
        <f>[3]Table!H5</f>
        <v>5.9999999999999995E-4</v>
      </c>
      <c r="J12" s="95">
        <f>[3]Table!I5</f>
        <v>5.3899999999999998E-4</v>
      </c>
      <c r="K12" s="96">
        <f>[3]Table!J5</f>
        <v>0</v>
      </c>
      <c r="L12" s="97">
        <f t="shared" si="0"/>
        <v>6.8419999999999991E-3</v>
      </c>
      <c r="M12" s="98"/>
      <c r="N12" s="204">
        <f t="shared" si="1"/>
        <v>6.7729999999999995E-3</v>
      </c>
      <c r="O12" s="32"/>
      <c r="P12" s="15">
        <f t="shared" si="2"/>
        <v>4.463E-3</v>
      </c>
      <c r="Q12" s="26"/>
      <c r="R12" s="46">
        <f t="shared" si="3"/>
        <v>6.8419999999999991E-3</v>
      </c>
      <c r="S12" s="46">
        <f t="shared" si="4"/>
        <v>0</v>
      </c>
      <c r="T12" s="30"/>
      <c r="U12" s="30"/>
      <c r="V12" s="30"/>
      <c r="W12" s="92"/>
    </row>
    <row r="13" spans="1:23" ht="15.9">
      <c r="A13" s="82">
        <v>4</v>
      </c>
      <c r="B13" s="93" t="s">
        <v>46</v>
      </c>
      <c r="C13" s="94">
        <f>'[2]AVTRP22 Table'!$G12</f>
        <v>7262797650</v>
      </c>
      <c r="D13" s="95">
        <f>[3]Table!C6</f>
        <v>1.6609999999999999E-3</v>
      </c>
      <c r="E13" s="96">
        <f>[3]Table!D6</f>
        <v>1.062E-3</v>
      </c>
      <c r="F13" s="96">
        <f>[3]Table!E6</f>
        <v>0</v>
      </c>
      <c r="G13" s="95">
        <f>[3]Table!F6</f>
        <v>5.0000000000000002E-5</v>
      </c>
      <c r="H13" s="96">
        <f>[3]Table!G6</f>
        <v>3.1E-4</v>
      </c>
      <c r="I13" s="96">
        <f>[3]Table!H6</f>
        <v>1.3470000000000001E-3</v>
      </c>
      <c r="J13" s="95">
        <f>[3]Table!I6</f>
        <v>2.4109999999999999E-3</v>
      </c>
      <c r="K13" s="96">
        <f>[3]Table!J6</f>
        <v>0</v>
      </c>
      <c r="L13" s="97">
        <f t="shared" si="0"/>
        <v>6.8409999999999999E-3</v>
      </c>
      <c r="M13" s="98"/>
      <c r="N13" s="204">
        <f t="shared" si="1"/>
        <v>6.7910000000000002E-3</v>
      </c>
      <c r="O13" s="89"/>
      <c r="P13" s="15">
        <f t="shared" si="2"/>
        <v>4.0699999999999998E-3</v>
      </c>
      <c r="Q13" s="26"/>
      <c r="R13" s="46">
        <f t="shared" si="3"/>
        <v>6.8409999999999999E-3</v>
      </c>
      <c r="S13" s="46">
        <f t="shared" si="4"/>
        <v>0</v>
      </c>
      <c r="T13" s="30"/>
      <c r="U13" s="30"/>
      <c r="V13" s="30"/>
      <c r="W13" s="92"/>
    </row>
    <row r="14" spans="1:23" ht="15.9">
      <c r="A14" s="82">
        <v>5</v>
      </c>
      <c r="B14" s="99" t="s">
        <v>47</v>
      </c>
      <c r="C14" s="100">
        <f>'[2]AVTRP22 Table'!$G13</f>
        <v>1962839031</v>
      </c>
      <c r="D14" s="101">
        <f>[3]Table!C7</f>
        <v>1.6609999999999999E-3</v>
      </c>
      <c r="E14" s="102">
        <f>[3]Table!D7</f>
        <v>0</v>
      </c>
      <c r="F14" s="102">
        <f>[3]Table!E7</f>
        <v>2.575E-3</v>
      </c>
      <c r="G14" s="101">
        <f>[3]Table!F7</f>
        <v>1.37E-4</v>
      </c>
      <c r="H14" s="102">
        <f>[3]Table!G7</f>
        <v>1.7149999999999999E-3</v>
      </c>
      <c r="I14" s="102">
        <f>[3]Table!H7</f>
        <v>1.024E-3</v>
      </c>
      <c r="J14" s="101">
        <f>[3]Table!I7</f>
        <v>1.315E-3</v>
      </c>
      <c r="K14" s="102">
        <f>[3]Table!J7</f>
        <v>0</v>
      </c>
      <c r="L14" s="103">
        <f t="shared" si="0"/>
        <v>8.4269999999999987E-3</v>
      </c>
      <c r="M14" s="98"/>
      <c r="N14" s="204">
        <f t="shared" si="1"/>
        <v>8.2899999999999988E-3</v>
      </c>
      <c r="O14" s="32"/>
      <c r="P14" s="15">
        <f t="shared" si="2"/>
        <v>5.2599999999999999E-3</v>
      </c>
      <c r="Q14" s="26"/>
      <c r="R14" s="46">
        <f t="shared" si="3"/>
        <v>8.4270000000000005E-3</v>
      </c>
      <c r="S14" s="46">
        <f t="shared" si="4"/>
        <v>0</v>
      </c>
      <c r="T14" s="30"/>
      <c r="U14" s="30"/>
      <c r="V14" s="30"/>
      <c r="W14" s="92"/>
    </row>
    <row r="15" spans="1:23" ht="15.9">
      <c r="A15" s="82">
        <v>6</v>
      </c>
      <c r="B15" s="104" t="s">
        <v>48</v>
      </c>
      <c r="C15" s="105">
        <f>'[2]AVTRP22 Table'!$G14</f>
        <v>346544130</v>
      </c>
      <c r="D15" s="106">
        <f>[3]Table!C8</f>
        <v>1.6609999999999999E-3</v>
      </c>
      <c r="E15" s="107">
        <f>[3]Table!D8</f>
        <v>1.859E-3</v>
      </c>
      <c r="F15" s="107">
        <f>[3]Table!E8</f>
        <v>0</v>
      </c>
      <c r="G15" s="106">
        <f>[3]Table!F8</f>
        <v>9.9999999999999995E-7</v>
      </c>
      <c r="H15" s="107">
        <f>[3]Table!G8</f>
        <v>6.3400000000000001E-4</v>
      </c>
      <c r="I15" s="107">
        <f>[3]Table!H8</f>
        <v>0</v>
      </c>
      <c r="J15" s="106">
        <f>[3]Table!I8</f>
        <v>6.9099999999999999E-4</v>
      </c>
      <c r="K15" s="107">
        <f>[3]Table!J8</f>
        <v>0</v>
      </c>
      <c r="L15" s="108">
        <f t="shared" si="0"/>
        <v>4.8459999999999996E-3</v>
      </c>
      <c r="M15" s="98"/>
      <c r="N15" s="204">
        <f t="shared" si="1"/>
        <v>4.8449999999999995E-3</v>
      </c>
      <c r="O15" s="32"/>
      <c r="P15" s="15">
        <f t="shared" si="2"/>
        <v>3.5199999999999997E-3</v>
      </c>
      <c r="Q15" s="26"/>
      <c r="R15" s="46">
        <f t="shared" si="3"/>
        <v>4.8459999999999996E-3</v>
      </c>
      <c r="S15" s="46">
        <f t="shared" si="4"/>
        <v>0</v>
      </c>
      <c r="T15" s="30"/>
      <c r="U15" s="30"/>
      <c r="V15" s="30"/>
      <c r="W15" s="92"/>
    </row>
    <row r="16" spans="1:23" ht="15.9">
      <c r="A16" s="82">
        <v>7</v>
      </c>
      <c r="B16" s="93" t="s">
        <v>49</v>
      </c>
      <c r="C16" s="94">
        <f>'[2]AVTRP22 Table'!$G15</f>
        <v>30666737136</v>
      </c>
      <c r="D16" s="95">
        <f>[3]Table!C9</f>
        <v>1.6609999999999999E-3</v>
      </c>
      <c r="E16" s="96">
        <f>[3]Table!D9</f>
        <v>0</v>
      </c>
      <c r="F16" s="96">
        <f>[3]Table!E9</f>
        <v>1.738E-3</v>
      </c>
      <c r="G16" s="95">
        <f>[3]Table!F9</f>
        <v>8.7999999999999998E-5</v>
      </c>
      <c r="H16" s="96">
        <f>[3]Table!G9</f>
        <v>5.4000000000000001E-4</v>
      </c>
      <c r="I16" s="96">
        <f>[3]Table!H9</f>
        <v>1.6000000000000001E-3</v>
      </c>
      <c r="J16" s="95">
        <f>[3]Table!I9</f>
        <v>2.0149999999999999E-3</v>
      </c>
      <c r="K16" s="96">
        <f>[3]Table!J9</f>
        <v>0</v>
      </c>
      <c r="L16" s="97">
        <f t="shared" si="0"/>
        <v>7.6419999999999995E-3</v>
      </c>
      <c r="M16" s="98"/>
      <c r="N16" s="204">
        <f t="shared" si="1"/>
        <v>7.5539999999999991E-3</v>
      </c>
      <c r="O16" s="32"/>
      <c r="P16" s="15">
        <f t="shared" si="2"/>
        <v>4.999E-3</v>
      </c>
      <c r="Q16" s="26"/>
      <c r="R16" s="46">
        <f t="shared" si="3"/>
        <v>7.6419999999999995E-3</v>
      </c>
      <c r="S16" s="46">
        <f t="shared" si="4"/>
        <v>0</v>
      </c>
      <c r="T16" s="30"/>
      <c r="U16" s="30"/>
      <c r="V16" s="30"/>
      <c r="W16" s="92"/>
    </row>
    <row r="17" spans="1:23" ht="15.9">
      <c r="A17" s="82">
        <v>8</v>
      </c>
      <c r="B17" s="93" t="s">
        <v>50</v>
      </c>
      <c r="C17" s="94">
        <f>'[2]AVTRP22 Table'!$G16</f>
        <v>2594600664</v>
      </c>
      <c r="D17" s="95">
        <f>[3]Table!C10</f>
        <v>1.6609999999999999E-3</v>
      </c>
      <c r="E17" s="96">
        <f>[3]Table!D10</f>
        <v>0</v>
      </c>
      <c r="F17" s="96">
        <f>[3]Table!E10</f>
        <v>1.5280000000000001E-3</v>
      </c>
      <c r="G17" s="95">
        <f>[3]Table!F10</f>
        <v>5.5999999999999999E-5</v>
      </c>
      <c r="H17" s="96">
        <f>[3]Table!G10</f>
        <v>3.5630000000000002E-3</v>
      </c>
      <c r="I17" s="96">
        <f>[3]Table!H10</f>
        <v>1.6720000000000001E-3</v>
      </c>
      <c r="J17" s="95">
        <f>[3]Table!I10</f>
        <v>6.8599999999999998E-4</v>
      </c>
      <c r="K17" s="96">
        <f>[3]Table!J10</f>
        <v>0</v>
      </c>
      <c r="L17" s="97">
        <f t="shared" si="0"/>
        <v>9.1660000000000005E-3</v>
      </c>
      <c r="M17" s="98"/>
      <c r="N17" s="204">
        <f t="shared" si="1"/>
        <v>9.11E-3</v>
      </c>
      <c r="O17" s="32"/>
      <c r="P17" s="15">
        <f t="shared" si="2"/>
        <v>4.8609999999999999E-3</v>
      </c>
      <c r="Q17" s="26"/>
      <c r="R17" s="46">
        <f t="shared" si="3"/>
        <v>9.1660000000000005E-3</v>
      </c>
      <c r="S17" s="46">
        <f t="shared" si="4"/>
        <v>0</v>
      </c>
      <c r="T17" s="30"/>
      <c r="U17" s="30"/>
      <c r="V17" s="30"/>
      <c r="W17" s="92"/>
    </row>
    <row r="18" spans="1:23" ht="15.9">
      <c r="A18" s="82">
        <v>9</v>
      </c>
      <c r="B18" s="93" t="s">
        <v>51</v>
      </c>
      <c r="C18" s="94">
        <f>'[2]AVTRP22 Table'!$G17</f>
        <v>2176831446</v>
      </c>
      <c r="D18" s="95">
        <f>[3]Table!C11</f>
        <v>1.6609999999999999E-3</v>
      </c>
      <c r="E18" s="96">
        <f>[3]Table!D11</f>
        <v>0</v>
      </c>
      <c r="F18" s="96">
        <f>[3]Table!E11</f>
        <v>2.1570000000000001E-3</v>
      </c>
      <c r="G18" s="95">
        <f>[3]Table!F11</f>
        <v>1.9000000000000001E-5</v>
      </c>
      <c r="H18" s="96">
        <f>[3]Table!G11</f>
        <v>4.7199999999999998E-4</v>
      </c>
      <c r="I18" s="96">
        <f>[3]Table!H11</f>
        <v>1.6770000000000001E-3</v>
      </c>
      <c r="J18" s="95">
        <f>[3]Table!I11</f>
        <v>2.173E-3</v>
      </c>
      <c r="K18" s="96">
        <f>[3]Table!J11</f>
        <v>6.9999999999999994E-5</v>
      </c>
      <c r="L18" s="97">
        <f t="shared" si="0"/>
        <v>8.2290000000000002E-3</v>
      </c>
      <c r="M18" s="98"/>
      <c r="N18" s="204">
        <f t="shared" si="1"/>
        <v>8.2100000000000003E-3</v>
      </c>
      <c r="O18" s="32"/>
      <c r="P18" s="15">
        <f t="shared" si="2"/>
        <v>5.4949999999999999E-3</v>
      </c>
      <c r="Q18" s="26"/>
      <c r="R18" s="46">
        <f t="shared" si="3"/>
        <v>8.2290000000000002E-3</v>
      </c>
      <c r="S18" s="46">
        <f t="shared" si="4"/>
        <v>0</v>
      </c>
      <c r="T18" s="30"/>
      <c r="U18" s="30"/>
      <c r="V18" s="30"/>
      <c r="W18" s="92"/>
    </row>
    <row r="19" spans="1:23" ht="15.9">
      <c r="A19" s="82">
        <v>10</v>
      </c>
      <c r="B19" s="99" t="s">
        <v>52</v>
      </c>
      <c r="C19" s="100">
        <f>'[2]AVTRP22 Table'!$G18</f>
        <v>755190934</v>
      </c>
      <c r="D19" s="101">
        <f>[3]Table!C12</f>
        <v>1.6609999999999999E-3</v>
      </c>
      <c r="E19" s="102">
        <f>[3]Table!D12</f>
        <v>0</v>
      </c>
      <c r="F19" s="102">
        <f>[3]Table!E12</f>
        <v>2.4030000000000002E-3</v>
      </c>
      <c r="G19" s="101">
        <f>[3]Table!F12</f>
        <v>9.0000000000000002E-6</v>
      </c>
      <c r="H19" s="102">
        <f>[3]Table!G12</f>
        <v>5.3899999999999998E-4</v>
      </c>
      <c r="I19" s="102">
        <f>[3]Table!H12</f>
        <v>1.7099999999999999E-3</v>
      </c>
      <c r="J19" s="101">
        <f>[3]Table!I12</f>
        <v>0</v>
      </c>
      <c r="K19" s="102">
        <f>[3]Table!J12</f>
        <v>0</v>
      </c>
      <c r="L19" s="103">
        <f t="shared" si="0"/>
        <v>6.3219999999999995E-3</v>
      </c>
      <c r="M19" s="98"/>
      <c r="N19" s="204">
        <f t="shared" si="1"/>
        <v>6.3129999999999992E-3</v>
      </c>
      <c r="O19" s="32"/>
      <c r="P19" s="15">
        <f t="shared" si="2"/>
        <v>5.7739999999999996E-3</v>
      </c>
      <c r="Q19" s="26"/>
      <c r="R19" s="46">
        <f t="shared" si="3"/>
        <v>6.3219999999999995E-3</v>
      </c>
      <c r="S19" s="46">
        <f t="shared" si="4"/>
        <v>0</v>
      </c>
      <c r="T19" s="30"/>
      <c r="U19" s="30"/>
      <c r="V19" s="30"/>
      <c r="W19" s="92"/>
    </row>
    <row r="20" spans="1:23" ht="15.9">
      <c r="A20" s="82">
        <v>11</v>
      </c>
      <c r="B20" s="104" t="s">
        <v>53</v>
      </c>
      <c r="C20" s="105">
        <f>'[2]AVTRP22 Table'!$G19</f>
        <v>2436924925</v>
      </c>
      <c r="D20" s="106">
        <f>[3]Table!C13</f>
        <v>1.6609999999999999E-3</v>
      </c>
      <c r="E20" s="107">
        <f>[3]Table!D13</f>
        <v>0</v>
      </c>
      <c r="F20" s="107">
        <f>[3]Table!E13</f>
        <v>2.0590000000000001E-3</v>
      </c>
      <c r="G20" s="106">
        <f>[3]Table!F13</f>
        <v>7.1000000000000005E-5</v>
      </c>
      <c r="H20" s="107">
        <f>[3]Table!G13</f>
        <v>1.3879999999999999E-3</v>
      </c>
      <c r="I20" s="107">
        <f>[3]Table!H13</f>
        <v>9.1399999999999999E-4</v>
      </c>
      <c r="J20" s="106">
        <f>[3]Table!I13</f>
        <v>1.1919999999999999E-3</v>
      </c>
      <c r="K20" s="107">
        <f>[3]Table!J13</f>
        <v>0</v>
      </c>
      <c r="L20" s="108">
        <f t="shared" si="0"/>
        <v>7.2849999999999998E-3</v>
      </c>
      <c r="M20" s="98"/>
      <c r="N20" s="204">
        <f t="shared" si="1"/>
        <v>7.2139999999999999E-3</v>
      </c>
      <c r="O20" s="32"/>
      <c r="P20" s="15">
        <f t="shared" si="2"/>
        <v>4.6340000000000001E-3</v>
      </c>
      <c r="Q20" s="27"/>
      <c r="R20" s="46">
        <f t="shared" si="3"/>
        <v>7.2849999999999998E-3</v>
      </c>
      <c r="S20" s="46">
        <f t="shared" si="4"/>
        <v>0</v>
      </c>
      <c r="T20" s="30"/>
      <c r="U20" s="30"/>
      <c r="V20" s="30"/>
      <c r="W20" s="92"/>
    </row>
    <row r="21" spans="1:23" ht="15.9">
      <c r="A21" s="82">
        <v>12</v>
      </c>
      <c r="B21" s="93" t="s">
        <v>54</v>
      </c>
      <c r="C21" s="94">
        <f>'[2]AVTRP22 Table'!$G20</f>
        <v>36131996888</v>
      </c>
      <c r="D21" s="95">
        <f>[3]Table!C14</f>
        <v>1.6609999999999999E-3</v>
      </c>
      <c r="E21" s="96">
        <f>[3]Table!D14</f>
        <v>0</v>
      </c>
      <c r="F21" s="96">
        <f>[3]Table!E14</f>
        <v>1.846E-3</v>
      </c>
      <c r="G21" s="95">
        <f>[3]Table!F14</f>
        <v>1.08E-4</v>
      </c>
      <c r="H21" s="96">
        <f>[3]Table!G14</f>
        <v>1.681E-3</v>
      </c>
      <c r="I21" s="96">
        <f>[3]Table!H14</f>
        <v>9.7799999999999992E-4</v>
      </c>
      <c r="J21" s="95">
        <f>[3]Table!I14</f>
        <v>8.3100000000000003E-4</v>
      </c>
      <c r="K21" s="96">
        <f>[3]Table!J14</f>
        <v>0</v>
      </c>
      <c r="L21" s="97">
        <f t="shared" si="0"/>
        <v>7.1049999999999993E-3</v>
      </c>
      <c r="M21" s="98"/>
      <c r="N21" s="204">
        <f t="shared" si="1"/>
        <v>6.9969999999999997E-3</v>
      </c>
      <c r="O21" s="32"/>
      <c r="P21" s="15">
        <f t="shared" si="2"/>
        <v>4.4849999999999994E-3</v>
      </c>
      <c r="Q21" s="26"/>
      <c r="R21" s="46">
        <f t="shared" si="3"/>
        <v>7.1049999999999993E-3</v>
      </c>
      <c r="S21" s="46">
        <f t="shared" si="4"/>
        <v>0</v>
      </c>
      <c r="T21" s="30"/>
      <c r="U21" s="30"/>
      <c r="V21" s="30"/>
      <c r="W21" s="92"/>
    </row>
    <row r="22" spans="1:23" ht="15.9">
      <c r="A22" s="82">
        <v>13</v>
      </c>
      <c r="B22" s="93" t="s">
        <v>55</v>
      </c>
      <c r="C22" s="94">
        <f>'[2]AVTRP22 Table'!$G21</f>
        <v>5495570173</v>
      </c>
      <c r="D22" s="95">
        <f>[3]Table!C15</f>
        <v>1.6609999999999999E-3</v>
      </c>
      <c r="E22" s="96">
        <f>[3]Table!D15</f>
        <v>9.8999999999999999E-4</v>
      </c>
      <c r="F22" s="96">
        <f>[3]Table!E15</f>
        <v>0</v>
      </c>
      <c r="G22" s="95">
        <f>[3]Table!F15</f>
        <v>5.1999999999999997E-5</v>
      </c>
      <c r="H22" s="96">
        <f>[3]Table!G15</f>
        <v>8.9599999999999999E-4</v>
      </c>
      <c r="I22" s="96">
        <f>[3]Table!H15</f>
        <v>7.1699999999999997E-4</v>
      </c>
      <c r="J22" s="95">
        <f>[3]Table!I15</f>
        <v>7.1900000000000002E-4</v>
      </c>
      <c r="K22" s="96">
        <f>[3]Table!J15</f>
        <v>0</v>
      </c>
      <c r="L22" s="97">
        <f t="shared" si="0"/>
        <v>5.0349999999999995E-3</v>
      </c>
      <c r="M22" s="98"/>
      <c r="N22" s="204">
        <f t="shared" si="1"/>
        <v>4.9829999999999996E-3</v>
      </c>
      <c r="O22" s="32"/>
      <c r="P22" s="15">
        <f t="shared" si="2"/>
        <v>3.3679999999999995E-3</v>
      </c>
      <c r="Q22" s="26"/>
      <c r="R22" s="46">
        <f t="shared" si="3"/>
        <v>5.0349999999999995E-3</v>
      </c>
      <c r="S22" s="46">
        <f t="shared" si="4"/>
        <v>0</v>
      </c>
      <c r="T22" s="30"/>
      <c r="U22" s="30"/>
      <c r="V22" s="30"/>
      <c r="W22" s="92"/>
    </row>
    <row r="23" spans="1:23" ht="15.9">
      <c r="A23" s="82">
        <v>14</v>
      </c>
      <c r="B23" s="93" t="s">
        <v>56</v>
      </c>
      <c r="C23" s="94">
        <f>'[2]AVTRP22 Table'!$G22</f>
        <v>28642893005</v>
      </c>
      <c r="D23" s="95">
        <f>[3]Table!C16</f>
        <v>1.6609999999999999E-3</v>
      </c>
      <c r="E23" s="96">
        <f>[3]Table!D16</f>
        <v>4.7600000000000002E-4</v>
      </c>
      <c r="F23" s="96">
        <f>[3]Table!E16</f>
        <v>0</v>
      </c>
      <c r="G23" s="95">
        <f>[3]Table!F16</f>
        <v>1.4100000000000001E-4</v>
      </c>
      <c r="H23" s="96">
        <f>[3]Table!G16</f>
        <v>1.4859999999999999E-3</v>
      </c>
      <c r="I23" s="96">
        <f>[3]Table!H16</f>
        <v>1.6000000000000001E-3</v>
      </c>
      <c r="J23" s="95">
        <f>[3]Table!I16</f>
        <v>8.0400000000000003E-4</v>
      </c>
      <c r="K23" s="96">
        <f>[3]Table!J16</f>
        <v>0</v>
      </c>
      <c r="L23" s="97">
        <f t="shared" si="0"/>
        <v>6.1679999999999999E-3</v>
      </c>
      <c r="M23" s="98"/>
      <c r="N23" s="204">
        <f t="shared" si="1"/>
        <v>6.0270000000000002E-3</v>
      </c>
      <c r="O23" s="31"/>
      <c r="P23" s="15">
        <f t="shared" si="2"/>
        <v>3.7369999999999999E-3</v>
      </c>
      <c r="Q23" s="26"/>
      <c r="R23" s="46">
        <f t="shared" si="3"/>
        <v>6.167999999999999E-3</v>
      </c>
      <c r="S23" s="46">
        <f t="shared" si="4"/>
        <v>0</v>
      </c>
      <c r="T23" s="30"/>
      <c r="U23" s="30"/>
      <c r="V23" s="92"/>
    </row>
    <row r="24" spans="1:23" ht="15.9">
      <c r="A24" s="82">
        <v>15</v>
      </c>
      <c r="B24" s="99" t="s">
        <v>57</v>
      </c>
      <c r="C24" s="100">
        <f>'[2]AVTRP22 Table'!$G23</f>
        <v>1364395318</v>
      </c>
      <c r="D24" s="101">
        <f>[3]Table!C17</f>
        <v>1.6609999999999999E-3</v>
      </c>
      <c r="E24" s="102">
        <f>[3]Table!D17</f>
        <v>0</v>
      </c>
      <c r="F24" s="102">
        <f>[3]Table!E17</f>
        <v>2.3E-3</v>
      </c>
      <c r="G24" s="101">
        <f>[3]Table!F17</f>
        <v>2.1999999999999999E-5</v>
      </c>
      <c r="H24" s="102">
        <f>[3]Table!G17</f>
        <v>1.9070000000000001E-3</v>
      </c>
      <c r="I24" s="102">
        <f>[3]Table!H17</f>
        <v>3.3799999999999998E-4</v>
      </c>
      <c r="J24" s="101">
        <f>[3]Table!I17</f>
        <v>1.4E-3</v>
      </c>
      <c r="K24" s="102">
        <f>[3]Table!J17</f>
        <v>0</v>
      </c>
      <c r="L24" s="103">
        <f t="shared" si="0"/>
        <v>7.6280000000000002E-3</v>
      </c>
      <c r="M24" s="98"/>
      <c r="N24" s="204">
        <f t="shared" si="1"/>
        <v>7.6059999999999999E-3</v>
      </c>
      <c r="O24" s="32"/>
      <c r="P24" s="15">
        <f t="shared" si="2"/>
        <v>4.2989999999999999E-3</v>
      </c>
      <c r="Q24" s="26"/>
      <c r="R24" s="46">
        <f t="shared" si="3"/>
        <v>7.6280000000000002E-3</v>
      </c>
      <c r="S24" s="46">
        <f t="shared" si="4"/>
        <v>0</v>
      </c>
      <c r="T24" s="30"/>
      <c r="U24" s="30"/>
      <c r="V24" s="30"/>
      <c r="W24" s="92"/>
    </row>
    <row r="25" spans="1:23" ht="15.9">
      <c r="A25" s="82">
        <v>16</v>
      </c>
      <c r="B25" s="104" t="s">
        <v>58</v>
      </c>
      <c r="C25" s="105">
        <f>'[2]AVTRP22 Table'!$G24</f>
        <v>1788793922</v>
      </c>
      <c r="D25" s="106">
        <f>[3]Table!C18</f>
        <v>1.6609999999999999E-3</v>
      </c>
      <c r="E25" s="107">
        <f>[3]Table!D18</f>
        <v>0</v>
      </c>
      <c r="F25" s="107">
        <f>[3]Table!E18</f>
        <v>1.4829999999999999E-3</v>
      </c>
      <c r="G25" s="106">
        <f>[3]Table!F18</f>
        <v>1.2999999999999999E-5</v>
      </c>
      <c r="H25" s="107">
        <f>[3]Table!G18</f>
        <v>8.5099999999999998E-4</v>
      </c>
      <c r="I25" s="107">
        <f>[3]Table!H18</f>
        <v>8.7200000000000005E-4</v>
      </c>
      <c r="J25" s="106">
        <f>[3]Table!I18</f>
        <v>0</v>
      </c>
      <c r="K25" s="107">
        <f>[3]Table!J18</f>
        <v>0</v>
      </c>
      <c r="L25" s="108">
        <f t="shared" si="0"/>
        <v>4.8800000000000007E-3</v>
      </c>
      <c r="M25" s="98"/>
      <c r="N25" s="204">
        <f t="shared" si="1"/>
        <v>4.8670000000000007E-3</v>
      </c>
      <c r="O25" s="32"/>
      <c r="P25" s="15">
        <f t="shared" si="2"/>
        <v>4.0160000000000005E-3</v>
      </c>
      <c r="Q25" s="26"/>
      <c r="R25" s="46">
        <f t="shared" si="3"/>
        <v>4.8800000000000007E-3</v>
      </c>
      <c r="S25" s="46">
        <f t="shared" si="4"/>
        <v>0</v>
      </c>
      <c r="T25" s="30"/>
      <c r="U25" s="30"/>
      <c r="V25" s="30"/>
      <c r="W25" s="92"/>
    </row>
    <row r="26" spans="1:23" ht="15.9">
      <c r="A26" s="82">
        <v>17</v>
      </c>
      <c r="B26" s="93" t="s">
        <v>59</v>
      </c>
      <c r="C26" s="94">
        <f>'[2]AVTRP22 Table'!$G25</f>
        <v>2537135212</v>
      </c>
      <c r="D26" s="95">
        <f>[3]Table!C19</f>
        <v>1.6609999999999999E-3</v>
      </c>
      <c r="E26" s="96">
        <f>[3]Table!D19</f>
        <v>0</v>
      </c>
      <c r="F26" s="96">
        <f>[3]Table!E19</f>
        <v>2.4659999999999999E-3</v>
      </c>
      <c r="G26" s="95">
        <f>[3]Table!F19</f>
        <v>9.0000000000000002E-6</v>
      </c>
      <c r="H26" s="96">
        <f>[3]Table!G19</f>
        <v>1.895E-3</v>
      </c>
      <c r="I26" s="96">
        <f>[3]Table!H19</f>
        <v>7.9900000000000001E-4</v>
      </c>
      <c r="J26" s="95">
        <f>[3]Table!I19</f>
        <v>0</v>
      </c>
      <c r="K26" s="96">
        <f>[3]Table!J19</f>
        <v>0</v>
      </c>
      <c r="L26" s="97">
        <f t="shared" si="0"/>
        <v>6.8300000000000001E-3</v>
      </c>
      <c r="M26" s="98"/>
      <c r="N26" s="204">
        <f t="shared" si="1"/>
        <v>6.8209999999999998E-3</v>
      </c>
      <c r="O26" s="32"/>
      <c r="P26" s="15">
        <f t="shared" si="2"/>
        <v>4.9259999999999998E-3</v>
      </c>
      <c r="Q26" s="26"/>
      <c r="R26" s="46">
        <f t="shared" si="3"/>
        <v>6.8300000000000001E-3</v>
      </c>
      <c r="S26" s="46">
        <f t="shared" si="4"/>
        <v>0</v>
      </c>
      <c r="T26" s="30"/>
      <c r="U26" s="30"/>
      <c r="V26" s="30"/>
      <c r="W26" s="92"/>
    </row>
    <row r="27" spans="1:23" ht="15.9">
      <c r="A27" s="82">
        <v>18</v>
      </c>
      <c r="B27" s="93" t="s">
        <v>60</v>
      </c>
      <c r="C27" s="94">
        <f>'[2]AVTRP22 Table'!$G26</f>
        <v>1531633994</v>
      </c>
      <c r="D27" s="95">
        <f>[3]Table!C20</f>
        <v>1.6609999999999999E-3</v>
      </c>
      <c r="E27" s="96">
        <f>[3]Table!D20</f>
        <v>0</v>
      </c>
      <c r="F27" s="96">
        <f>[3]Table!E20</f>
        <v>2.3240000000000001E-3</v>
      </c>
      <c r="G27" s="95">
        <f>[3]Table!F20</f>
        <v>2.5000000000000001E-5</v>
      </c>
      <c r="H27" s="96">
        <f>[3]Table!G20</f>
        <v>2.202E-3</v>
      </c>
      <c r="I27" s="96">
        <f>[3]Table!H20</f>
        <v>0</v>
      </c>
      <c r="J27" s="95">
        <f>[3]Table!I20</f>
        <v>3.2039999999999998E-3</v>
      </c>
      <c r="K27" s="96">
        <f>[3]Table!J20</f>
        <v>0</v>
      </c>
      <c r="L27" s="97">
        <f t="shared" si="0"/>
        <v>9.415999999999999E-3</v>
      </c>
      <c r="M27" s="98"/>
      <c r="N27" s="204">
        <f t="shared" si="1"/>
        <v>9.3909999999999983E-3</v>
      </c>
      <c r="O27" s="32"/>
      <c r="P27" s="15">
        <f t="shared" si="2"/>
        <v>3.9849999999999998E-3</v>
      </c>
      <c r="Q27" s="26"/>
      <c r="R27" s="46">
        <f t="shared" si="3"/>
        <v>9.4160000000000008E-3</v>
      </c>
      <c r="S27" s="46">
        <f t="shared" si="4"/>
        <v>0</v>
      </c>
      <c r="T27" s="30"/>
      <c r="U27" s="30"/>
      <c r="V27" s="30"/>
      <c r="W27" s="92"/>
    </row>
    <row r="28" spans="1:23" ht="15.9">
      <c r="A28" s="82">
        <v>19</v>
      </c>
      <c r="B28" s="93" t="s">
        <v>61</v>
      </c>
      <c r="C28" s="94">
        <f>'[2]AVTRP22 Table'!$G27</f>
        <v>12609120215</v>
      </c>
      <c r="D28" s="95">
        <f>[3]Table!C21</f>
        <v>1.6609999999999999E-3</v>
      </c>
      <c r="E28" s="96">
        <f>[3]Table!D21</f>
        <v>0</v>
      </c>
      <c r="F28" s="96">
        <f>[3]Table!E21</f>
        <v>1.5809999999999999E-3</v>
      </c>
      <c r="G28" s="95">
        <f>[3]Table!F21</f>
        <v>7.6000000000000004E-5</v>
      </c>
      <c r="H28" s="96">
        <f>[3]Table!G21</f>
        <v>1.4300000000000001E-3</v>
      </c>
      <c r="I28" s="96">
        <f>[3]Table!H21</f>
        <v>1.17E-3</v>
      </c>
      <c r="J28" s="95">
        <f>[3]Table!I21</f>
        <v>2.7759999999999998E-3</v>
      </c>
      <c r="K28" s="96">
        <f>[3]Table!J21</f>
        <v>0</v>
      </c>
      <c r="L28" s="97">
        <f t="shared" si="0"/>
        <v>8.6940000000000003E-3</v>
      </c>
      <c r="M28" s="98"/>
      <c r="N28" s="204">
        <f t="shared" si="1"/>
        <v>8.6180000000000007E-3</v>
      </c>
      <c r="O28" s="32"/>
      <c r="P28" s="15">
        <f t="shared" si="2"/>
        <v>4.4120000000000001E-3</v>
      </c>
      <c r="Q28" s="26"/>
      <c r="R28" s="46">
        <f t="shared" si="3"/>
        <v>8.6940000000000003E-3</v>
      </c>
      <c r="S28" s="46">
        <f t="shared" si="4"/>
        <v>0</v>
      </c>
      <c r="T28" s="30"/>
      <c r="U28" s="30"/>
      <c r="V28" s="30"/>
      <c r="W28" s="92"/>
    </row>
    <row r="29" spans="1:23" ht="15.9">
      <c r="A29" s="82">
        <v>20</v>
      </c>
      <c r="B29" s="99" t="s">
        <v>62</v>
      </c>
      <c r="C29" s="100">
        <f>'[2]AVTRP22 Table'!$G28</f>
        <v>1051117263</v>
      </c>
      <c r="D29" s="101">
        <f>[3]Table!C22</f>
        <v>1.6609999999999999E-3</v>
      </c>
      <c r="E29" s="102">
        <f>[3]Table!D22</f>
        <v>0</v>
      </c>
      <c r="F29" s="102">
        <f>[3]Table!E22</f>
        <v>1.415E-3</v>
      </c>
      <c r="G29" s="101">
        <f>[3]Table!F22</f>
        <v>1.8E-5</v>
      </c>
      <c r="H29" s="102">
        <f>[3]Table!G22</f>
        <v>8.7000000000000001E-4</v>
      </c>
      <c r="I29" s="102">
        <f>[3]Table!H22</f>
        <v>1.3489999999999999E-3</v>
      </c>
      <c r="J29" s="101">
        <f>[3]Table!I22</f>
        <v>1.09E-3</v>
      </c>
      <c r="K29" s="102">
        <f>[3]Table!J22</f>
        <v>0</v>
      </c>
      <c r="L29" s="103">
        <f t="shared" si="0"/>
        <v>6.4029999999999998E-3</v>
      </c>
      <c r="M29" s="98"/>
      <c r="N29" s="204">
        <f t="shared" si="1"/>
        <v>6.3850000000000001E-3</v>
      </c>
      <c r="O29" s="32"/>
      <c r="P29" s="15">
        <f t="shared" si="2"/>
        <v>4.4250000000000001E-3</v>
      </c>
      <c r="Q29" s="26"/>
      <c r="R29" s="46">
        <f t="shared" si="3"/>
        <v>6.4029999999999998E-3</v>
      </c>
      <c r="S29" s="46">
        <f t="shared" si="4"/>
        <v>0</v>
      </c>
      <c r="T29" s="30"/>
      <c r="U29" s="30"/>
      <c r="V29" s="30"/>
      <c r="W29" s="92"/>
    </row>
    <row r="30" spans="1:23" ht="15.9">
      <c r="A30" s="82">
        <v>21</v>
      </c>
      <c r="B30" s="104" t="s">
        <v>63</v>
      </c>
      <c r="C30" s="105">
        <f>'[2]AVTRP22 Table'!$G29</f>
        <v>1993019464</v>
      </c>
      <c r="D30" s="106">
        <f>[3]Table!C23</f>
        <v>1.6609999999999999E-3</v>
      </c>
      <c r="E30" s="107">
        <f>[3]Table!D23</f>
        <v>0</v>
      </c>
      <c r="F30" s="107">
        <f>[3]Table!E23</f>
        <v>1.9109999999999999E-3</v>
      </c>
      <c r="G30" s="106">
        <f>[3]Table!F23</f>
        <v>2.3E-5</v>
      </c>
      <c r="H30" s="107">
        <f>[3]Table!G23</f>
        <v>6.0800000000000003E-4</v>
      </c>
      <c r="I30" s="107">
        <f>[3]Table!H23</f>
        <v>1.6799999999999999E-4</v>
      </c>
      <c r="J30" s="106">
        <f>[3]Table!I23</f>
        <v>3.3599999999999998E-4</v>
      </c>
      <c r="K30" s="107">
        <f>[3]Table!J23</f>
        <v>0</v>
      </c>
      <c r="L30" s="108">
        <f t="shared" si="0"/>
        <v>4.7070000000000002E-3</v>
      </c>
      <c r="M30" s="98"/>
      <c r="N30" s="204">
        <f t="shared" si="1"/>
        <v>4.6840000000000007E-3</v>
      </c>
      <c r="O30" s="32"/>
      <c r="P30" s="15">
        <f t="shared" si="2"/>
        <v>3.7399999999999998E-3</v>
      </c>
      <c r="Q30" s="26"/>
      <c r="R30" s="46">
        <f t="shared" si="3"/>
        <v>4.7069999999999994E-3</v>
      </c>
      <c r="S30" s="46">
        <f t="shared" si="4"/>
        <v>0</v>
      </c>
      <c r="T30" s="30"/>
      <c r="U30" s="30"/>
      <c r="V30" s="30"/>
      <c r="W30" s="92"/>
    </row>
    <row r="31" spans="1:23" ht="15.9">
      <c r="A31" s="82">
        <v>22</v>
      </c>
      <c r="B31" s="93" t="s">
        <v>64</v>
      </c>
      <c r="C31" s="94">
        <f>'[2]AVTRP22 Table'!$G30</f>
        <v>20576755128</v>
      </c>
      <c r="D31" s="95">
        <f>[3]Table!C24</f>
        <v>1.6609999999999999E-3</v>
      </c>
      <c r="E31" s="96">
        <f>[3]Table!D24</f>
        <v>1.2520000000000001E-3</v>
      </c>
      <c r="F31" s="96">
        <f>[3]Table!E24</f>
        <v>0</v>
      </c>
      <c r="G31" s="95">
        <f>[3]Table!F24</f>
        <v>3.1000000000000001E-5</v>
      </c>
      <c r="H31" s="96">
        <f>[3]Table!G24</f>
        <v>2.7E-4</v>
      </c>
      <c r="I31" s="96">
        <f>[3]Table!H24</f>
        <v>9.3000000000000005E-4</v>
      </c>
      <c r="J31" s="95">
        <f>[3]Table!I24</f>
        <v>0</v>
      </c>
      <c r="K31" s="96">
        <f>[3]Table!J24</f>
        <v>0</v>
      </c>
      <c r="L31" s="97">
        <f t="shared" si="0"/>
        <v>4.1440000000000001E-3</v>
      </c>
      <c r="M31" s="98"/>
      <c r="N31" s="204">
        <f t="shared" si="1"/>
        <v>4.1130000000000003E-3</v>
      </c>
      <c r="O31" s="32"/>
      <c r="P31" s="15">
        <f t="shared" si="2"/>
        <v>3.8430000000000001E-3</v>
      </c>
      <c r="Q31" s="26"/>
      <c r="R31" s="46">
        <f t="shared" si="3"/>
        <v>4.1440000000000001E-3</v>
      </c>
      <c r="S31" s="46">
        <f t="shared" si="4"/>
        <v>0</v>
      </c>
      <c r="T31" s="30"/>
      <c r="U31" s="30"/>
      <c r="V31" s="30"/>
      <c r="W31" s="92"/>
    </row>
    <row r="32" spans="1:23" ht="15.9">
      <c r="A32" s="82">
        <v>23</v>
      </c>
      <c r="B32" s="93" t="s">
        <v>65</v>
      </c>
      <c r="C32" s="94">
        <f>'[2]AVTRP22 Table'!$G31</f>
        <v>158732125</v>
      </c>
      <c r="D32" s="95">
        <f>[3]Table!C25</f>
        <v>1.6609999999999999E-3</v>
      </c>
      <c r="E32" s="96">
        <f>[3]Table!D25</f>
        <v>0</v>
      </c>
      <c r="F32" s="96">
        <f>[3]Table!E25</f>
        <v>4.0000000000000002E-4</v>
      </c>
      <c r="G32" s="95">
        <f>[3]Table!F25</f>
        <v>6.9999999999999999E-6</v>
      </c>
      <c r="H32" s="96">
        <f>[3]Table!G25</f>
        <v>7.2000000000000002E-5</v>
      </c>
      <c r="I32" s="96">
        <f>[3]Table!H25</f>
        <v>1.6000000000000001E-3</v>
      </c>
      <c r="J32" s="95">
        <f>[3]Table!I25</f>
        <v>1.1440000000000001E-3</v>
      </c>
      <c r="K32" s="96">
        <f>[3]Table!J25</f>
        <v>0</v>
      </c>
      <c r="L32" s="97">
        <f t="shared" si="0"/>
        <v>4.8840000000000003E-3</v>
      </c>
      <c r="M32" s="98"/>
      <c r="N32" s="204">
        <f t="shared" si="1"/>
        <v>4.8770000000000003E-3</v>
      </c>
      <c r="O32" s="32"/>
      <c r="P32" s="15">
        <f t="shared" si="2"/>
        <v>3.6610000000000002E-3</v>
      </c>
      <c r="Q32" s="26"/>
      <c r="R32" s="46">
        <f t="shared" si="3"/>
        <v>4.8840000000000003E-3</v>
      </c>
      <c r="S32" s="46">
        <f t="shared" si="4"/>
        <v>0</v>
      </c>
      <c r="T32" s="30"/>
      <c r="U32" s="30"/>
      <c r="V32" s="30"/>
      <c r="W32" s="92"/>
    </row>
    <row r="33" spans="1:23" ht="15.9">
      <c r="A33" s="82">
        <v>24</v>
      </c>
      <c r="B33" s="93" t="s">
        <v>66</v>
      </c>
      <c r="C33" s="94">
        <f>'[2]AVTRP22 Table'!$G32</f>
        <v>1475961722</v>
      </c>
      <c r="D33" s="95">
        <f>[3]Table!C26</f>
        <v>1.6609999999999999E-3</v>
      </c>
      <c r="E33" s="96">
        <f>[3]Table!D26</f>
        <v>8.52E-4</v>
      </c>
      <c r="F33" s="96">
        <f>[3]Table!E26</f>
        <v>0</v>
      </c>
      <c r="G33" s="95">
        <f>[3]Table!F26</f>
        <v>7.9999999999999996E-6</v>
      </c>
      <c r="H33" s="96">
        <f>[3]Table!G26</f>
        <v>1.4200000000000001E-4</v>
      </c>
      <c r="I33" s="96">
        <f>[3]Table!H26</f>
        <v>8.8699999999999998E-4</v>
      </c>
      <c r="J33" s="95">
        <f>[3]Table!I26</f>
        <v>4.8899999999999996E-4</v>
      </c>
      <c r="K33" s="96">
        <f>[3]Table!J26</f>
        <v>0</v>
      </c>
      <c r="L33" s="97">
        <f t="shared" si="0"/>
        <v>4.0390000000000001E-3</v>
      </c>
      <c r="M33" s="98"/>
      <c r="N33" s="204">
        <f t="shared" si="1"/>
        <v>4.0309999999999999E-3</v>
      </c>
      <c r="O33" s="32"/>
      <c r="P33" s="15">
        <f t="shared" si="2"/>
        <v>3.4000000000000002E-3</v>
      </c>
      <c r="Q33" s="26"/>
      <c r="R33" s="46">
        <f t="shared" si="3"/>
        <v>4.0390000000000001E-3</v>
      </c>
      <c r="S33" s="46">
        <f t="shared" si="4"/>
        <v>0</v>
      </c>
      <c r="T33" s="30"/>
      <c r="U33" s="30"/>
      <c r="V33" s="30"/>
      <c r="W33" s="92"/>
    </row>
    <row r="34" spans="1:23" ht="15.9">
      <c r="A34" s="82">
        <v>25</v>
      </c>
      <c r="B34" s="99" t="s">
        <v>67</v>
      </c>
      <c r="C34" s="100">
        <f>'[2]AVTRP22 Table'!$G33</f>
        <v>858485551</v>
      </c>
      <c r="D34" s="101">
        <f>[3]Table!C27</f>
        <v>1.6609999999999999E-3</v>
      </c>
      <c r="E34" s="102">
        <f>[3]Table!D27</f>
        <v>0</v>
      </c>
      <c r="F34" s="102">
        <f>[3]Table!E27</f>
        <v>2.1410000000000001E-3</v>
      </c>
      <c r="G34" s="101">
        <f>[3]Table!F27</f>
        <v>1.2E-5</v>
      </c>
      <c r="H34" s="102">
        <f>[3]Table!G27</f>
        <v>2.183E-3</v>
      </c>
      <c r="I34" s="102">
        <f>[3]Table!H27</f>
        <v>1.6000000000000001E-3</v>
      </c>
      <c r="J34" s="101">
        <f>[3]Table!I27</f>
        <v>0</v>
      </c>
      <c r="K34" s="102">
        <f>[3]Table!J27</f>
        <v>0</v>
      </c>
      <c r="L34" s="103">
        <f t="shared" si="0"/>
        <v>7.5969999999999996E-3</v>
      </c>
      <c r="M34" s="98"/>
      <c r="N34" s="204">
        <f t="shared" si="1"/>
        <v>7.5849999999999997E-3</v>
      </c>
      <c r="O34" s="32"/>
      <c r="P34" s="15">
        <f t="shared" si="2"/>
        <v>5.4019999999999997E-3</v>
      </c>
      <c r="Q34" s="26"/>
      <c r="R34" s="46">
        <f t="shared" si="3"/>
        <v>7.5969999999999996E-3</v>
      </c>
      <c r="S34" s="46">
        <f t="shared" si="4"/>
        <v>0</v>
      </c>
      <c r="T34" s="30"/>
      <c r="U34" s="30"/>
      <c r="V34" s="30"/>
      <c r="W34" s="92"/>
    </row>
    <row r="35" spans="1:23" ht="15.9">
      <c r="A35" s="82">
        <v>26</v>
      </c>
      <c r="B35" s="104" t="s">
        <v>124</v>
      </c>
      <c r="C35" s="105">
        <f>'[2]AVTRP22 Table'!$G34</f>
        <v>1848064914</v>
      </c>
      <c r="D35" s="106">
        <f>[3]Table!C28</f>
        <v>1.6609999999999999E-3</v>
      </c>
      <c r="E35" s="107">
        <f>[3]Table!D28</f>
        <v>0</v>
      </c>
      <c r="F35" s="107">
        <f>[3]Table!E28</f>
        <v>1.5969999999999999E-3</v>
      </c>
      <c r="G35" s="106">
        <f>[3]Table!F28</f>
        <v>2.5000000000000001E-5</v>
      </c>
      <c r="H35" s="107">
        <f>[3]Table!G28</f>
        <v>1.023E-3</v>
      </c>
      <c r="I35" s="107">
        <f>[3]Table!H28</f>
        <v>1.1999999999999999E-3</v>
      </c>
      <c r="J35" s="106">
        <f>[3]Table!I28</f>
        <v>1.6199999999999999E-3</v>
      </c>
      <c r="K35" s="107">
        <f>[3]Table!J28</f>
        <v>0</v>
      </c>
      <c r="L35" s="108">
        <f t="shared" si="0"/>
        <v>7.1259999999999987E-3</v>
      </c>
      <c r="M35" s="98"/>
      <c r="N35" s="204">
        <f t="shared" si="1"/>
        <v>7.1009999999999988E-3</v>
      </c>
      <c r="O35" s="32"/>
      <c r="P35" s="15">
        <f t="shared" si="2"/>
        <v>4.4579999999999993E-3</v>
      </c>
      <c r="Q35" s="26"/>
      <c r="R35" s="46">
        <f t="shared" si="3"/>
        <v>7.1259999999999995E-3</v>
      </c>
      <c r="S35" s="46">
        <f t="shared" si="4"/>
        <v>0</v>
      </c>
      <c r="T35" s="30"/>
      <c r="U35" s="30"/>
      <c r="V35" s="30"/>
      <c r="W35" s="92"/>
    </row>
    <row r="36" spans="1:23" ht="15.9">
      <c r="A36" s="82">
        <v>27</v>
      </c>
      <c r="B36" s="93" t="s">
        <v>69</v>
      </c>
      <c r="C36" s="94">
        <f>'[2]AVTRP22 Table'!$G35</f>
        <v>852935944</v>
      </c>
      <c r="D36" s="95">
        <f>[3]Table!C29</f>
        <v>1.6609999999999999E-3</v>
      </c>
      <c r="E36" s="96">
        <f>[3]Table!D29</f>
        <v>0</v>
      </c>
      <c r="F36" s="96">
        <f>[3]Table!E29</f>
        <v>1.3290000000000001E-3</v>
      </c>
      <c r="G36" s="95">
        <f>[3]Table!F29</f>
        <v>1.8E-5</v>
      </c>
      <c r="H36" s="96">
        <f>[3]Table!G29</f>
        <v>2.1679999999999998E-3</v>
      </c>
      <c r="I36" s="96">
        <f>[3]Table!H29</f>
        <v>1.4549999999999999E-3</v>
      </c>
      <c r="J36" s="95">
        <f>[3]Table!I29</f>
        <v>2.5969999999999999E-3</v>
      </c>
      <c r="K36" s="96">
        <f>[3]Table!J29</f>
        <v>0</v>
      </c>
      <c r="L36" s="97">
        <f t="shared" si="0"/>
        <v>9.2280000000000001E-3</v>
      </c>
      <c r="M36" s="98"/>
      <c r="N36" s="204">
        <f t="shared" si="1"/>
        <v>9.2099999999999994E-3</v>
      </c>
      <c r="O36" s="32"/>
      <c r="P36" s="15">
        <f t="shared" si="2"/>
        <v>4.4450000000000002E-3</v>
      </c>
      <c r="Q36" s="26"/>
      <c r="R36" s="46">
        <f t="shared" si="3"/>
        <v>9.2280000000000001E-3</v>
      </c>
      <c r="S36" s="46">
        <f t="shared" si="4"/>
        <v>0</v>
      </c>
      <c r="T36" s="30"/>
      <c r="U36" s="30"/>
      <c r="V36" s="30"/>
      <c r="W36" s="92"/>
    </row>
    <row r="37" spans="1:23" ht="15.9">
      <c r="A37" s="82">
        <v>28</v>
      </c>
      <c r="B37" s="93" t="s">
        <v>70</v>
      </c>
      <c r="C37" s="94">
        <f>'[2]AVTRP22 Table'!$G36</f>
        <v>3165087185</v>
      </c>
      <c r="D37" s="95">
        <f>[3]Table!C30</f>
        <v>1.6609999999999999E-3</v>
      </c>
      <c r="E37" s="96">
        <f>[3]Table!D30</f>
        <v>0</v>
      </c>
      <c r="F37" s="96">
        <f>[3]Table!E30</f>
        <v>1.8029999999999999E-3</v>
      </c>
      <c r="G37" s="95">
        <f>[3]Table!F30</f>
        <v>3.3000000000000003E-5</v>
      </c>
      <c r="H37" s="96">
        <f>[3]Table!G30</f>
        <v>1.178E-3</v>
      </c>
      <c r="I37" s="96">
        <f>[3]Table!H30</f>
        <v>5.9999999999999995E-4</v>
      </c>
      <c r="J37" s="95">
        <f>[3]Table!I30</f>
        <v>0</v>
      </c>
      <c r="K37" s="96">
        <f>[3]Table!J30</f>
        <v>0</v>
      </c>
      <c r="L37" s="97">
        <f t="shared" si="0"/>
        <v>5.2750000000000002E-3</v>
      </c>
      <c r="M37" s="98"/>
      <c r="N37" s="204">
        <f t="shared" si="1"/>
        <v>5.2420000000000001E-3</v>
      </c>
      <c r="O37" s="32"/>
      <c r="P37" s="15">
        <f t="shared" si="2"/>
        <v>4.0639999999999999E-3</v>
      </c>
      <c r="Q37" s="26"/>
      <c r="R37" s="46">
        <f t="shared" si="3"/>
        <v>5.2750000000000002E-3</v>
      </c>
      <c r="S37" s="46">
        <f t="shared" si="4"/>
        <v>0</v>
      </c>
      <c r="T37" s="30"/>
      <c r="U37" s="30"/>
      <c r="V37" s="30"/>
      <c r="W37" s="92"/>
    </row>
    <row r="38" spans="1:23" ht="15.9">
      <c r="A38" s="82">
        <v>29</v>
      </c>
      <c r="B38" s="93" t="s">
        <v>71</v>
      </c>
      <c r="C38" s="94">
        <f>'[2]AVTRP22 Table'!$G37</f>
        <v>90161457</v>
      </c>
      <c r="D38" s="95">
        <f>[3]Table!C31</f>
        <v>1.6609999999999999E-3</v>
      </c>
      <c r="E38" s="96">
        <f>[3]Table!D31</f>
        <v>1.23E-3</v>
      </c>
      <c r="F38" s="96">
        <f>[3]Table!E31</f>
        <v>0</v>
      </c>
      <c r="G38" s="95">
        <f>[3]Table!F31</f>
        <v>0</v>
      </c>
      <c r="H38" s="96">
        <f>[3]Table!G31</f>
        <v>1.351E-3</v>
      </c>
      <c r="I38" s="96">
        <f>[3]Table!H31</f>
        <v>2.062E-3</v>
      </c>
      <c r="J38" s="95">
        <f>[3]Table!I31</f>
        <v>1.031E-3</v>
      </c>
      <c r="K38" s="96">
        <f>[3]Table!J31</f>
        <v>0</v>
      </c>
      <c r="L38" s="97">
        <f t="shared" si="0"/>
        <v>7.3350000000000004E-3</v>
      </c>
      <c r="M38" s="98"/>
      <c r="N38" s="204">
        <f t="shared" si="1"/>
        <v>7.3350000000000004E-3</v>
      </c>
      <c r="O38" s="32"/>
      <c r="P38" s="15">
        <f t="shared" si="2"/>
        <v>4.9529999999999999E-3</v>
      </c>
      <c r="Q38" s="26"/>
      <c r="R38" s="46">
        <f t="shared" si="3"/>
        <v>7.3349999999999995E-3</v>
      </c>
      <c r="S38" s="46">
        <f t="shared" si="4"/>
        <v>0</v>
      </c>
      <c r="T38" s="30"/>
      <c r="U38" s="30"/>
      <c r="V38" s="30"/>
      <c r="W38" s="92"/>
    </row>
    <row r="39" spans="1:23" ht="15.9">
      <c r="A39" s="82">
        <v>30</v>
      </c>
      <c r="B39" s="99" t="s">
        <v>72</v>
      </c>
      <c r="C39" s="100">
        <f>'[2]AVTRP22 Table'!$G38</f>
        <v>5873018027</v>
      </c>
      <c r="D39" s="101">
        <f>[3]Table!C32</f>
        <v>1.6609999999999999E-3</v>
      </c>
      <c r="E39" s="102">
        <f>[3]Table!D32</f>
        <v>0</v>
      </c>
      <c r="F39" s="102">
        <f>[3]Table!E32</f>
        <v>1.9940000000000001E-3</v>
      </c>
      <c r="G39" s="101">
        <f>[3]Table!F32</f>
        <v>1.3799999999999999E-4</v>
      </c>
      <c r="H39" s="102">
        <f>[3]Table!G32</f>
        <v>1.353E-3</v>
      </c>
      <c r="I39" s="102">
        <f>[3]Table!H32</f>
        <v>1.6000000000000001E-3</v>
      </c>
      <c r="J39" s="101">
        <f>[3]Table!I32</f>
        <v>2.5500000000000002E-3</v>
      </c>
      <c r="K39" s="102">
        <f>[3]Table!J32</f>
        <v>0</v>
      </c>
      <c r="L39" s="103">
        <f t="shared" si="0"/>
        <v>9.2960000000000004E-3</v>
      </c>
      <c r="M39" s="98"/>
      <c r="N39" s="204">
        <f t="shared" si="1"/>
        <v>9.1580000000000012E-3</v>
      </c>
      <c r="O39" s="32"/>
      <c r="P39" s="15">
        <f t="shared" si="2"/>
        <v>5.2550000000000001E-3</v>
      </c>
      <c r="Q39" s="26"/>
      <c r="R39" s="46">
        <f t="shared" si="3"/>
        <v>9.2959999999999987E-3</v>
      </c>
      <c r="S39" s="46">
        <f t="shared" si="4"/>
        <v>0</v>
      </c>
      <c r="T39" s="30"/>
      <c r="U39" s="30"/>
      <c r="V39" s="30"/>
      <c r="W39" s="92"/>
    </row>
    <row r="40" spans="1:23" ht="15.9">
      <c r="A40" s="82">
        <v>31</v>
      </c>
      <c r="B40" s="104" t="s">
        <v>109</v>
      </c>
      <c r="C40" s="105">
        <f>'[2]AVTRP22 Table'!$G39</f>
        <v>3966979515</v>
      </c>
      <c r="D40" s="106">
        <f>[3]Table!C33</f>
        <v>1.6609999999999999E-3</v>
      </c>
      <c r="E40" s="107">
        <f>[3]Table!D33</f>
        <v>0</v>
      </c>
      <c r="F40" s="107">
        <f>[3]Table!E33</f>
        <v>2.8969999999999998E-3</v>
      </c>
      <c r="G40" s="106">
        <f>[3]Table!F33</f>
        <v>1.74E-4</v>
      </c>
      <c r="H40" s="107">
        <f>[3]Table!G33</f>
        <v>1.936E-3</v>
      </c>
      <c r="I40" s="107">
        <f>[3]Table!H33</f>
        <v>0</v>
      </c>
      <c r="J40" s="106">
        <f>[3]Table!I33</f>
        <v>8.5800000000000004E-4</v>
      </c>
      <c r="K40" s="107">
        <f>[3]Table!J33</f>
        <v>0</v>
      </c>
      <c r="L40" s="108">
        <f t="shared" si="0"/>
        <v>7.5259999999999997E-3</v>
      </c>
      <c r="M40" s="98"/>
      <c r="N40" s="204">
        <f t="shared" si="1"/>
        <v>7.352E-3</v>
      </c>
      <c r="O40" s="32"/>
      <c r="P40" s="15">
        <f t="shared" si="2"/>
        <v>4.5579999999999996E-3</v>
      </c>
      <c r="Q40" s="26"/>
      <c r="R40" s="46">
        <f t="shared" si="3"/>
        <v>7.5259999999999997E-3</v>
      </c>
      <c r="S40" s="46">
        <f t="shared" si="4"/>
        <v>0</v>
      </c>
      <c r="T40" s="30"/>
      <c r="U40" s="30"/>
      <c r="V40" s="30"/>
      <c r="W40" s="92"/>
    </row>
    <row r="41" spans="1:23" ht="15.9">
      <c r="A41" s="82">
        <v>32</v>
      </c>
      <c r="B41" s="93" t="s">
        <v>73</v>
      </c>
      <c r="C41" s="94">
        <f>'[2]AVTRP22 Table'!$G40</f>
        <v>8121690548</v>
      </c>
      <c r="D41" s="95">
        <f>[3]Table!C34</f>
        <v>1.6609999999999999E-3</v>
      </c>
      <c r="E41" s="96">
        <f>[3]Table!D34</f>
        <v>2.1210000000000001E-3</v>
      </c>
      <c r="F41" s="96">
        <f>[3]Table!E34</f>
        <v>0</v>
      </c>
      <c r="G41" s="95">
        <f>[3]Table!F34</f>
        <v>5.3999999999999998E-5</v>
      </c>
      <c r="H41" s="96">
        <f>[3]Table!G34</f>
        <v>1.552E-3</v>
      </c>
      <c r="I41" s="96">
        <f>[3]Table!H34</f>
        <v>1.6559999999999999E-3</v>
      </c>
      <c r="J41" s="95">
        <f>[3]Table!I34</f>
        <v>1.2019999999999999E-3</v>
      </c>
      <c r="K41" s="96">
        <f>[3]Table!J34</f>
        <v>0</v>
      </c>
      <c r="L41" s="97">
        <f t="shared" si="0"/>
        <v>8.2459999999999999E-3</v>
      </c>
      <c r="M41" s="98"/>
      <c r="N41" s="204">
        <f t="shared" si="1"/>
        <v>8.1919999999999996E-3</v>
      </c>
      <c r="O41" s="32"/>
      <c r="P41" s="15">
        <f t="shared" si="2"/>
        <v>5.4380000000000001E-3</v>
      </c>
      <c r="Q41" s="26"/>
      <c r="R41" s="46">
        <f t="shared" si="3"/>
        <v>8.2459999999999999E-3</v>
      </c>
      <c r="S41" s="46">
        <f t="shared" si="4"/>
        <v>0</v>
      </c>
      <c r="T41" s="30"/>
      <c r="U41" s="30"/>
      <c r="V41" s="30"/>
      <c r="W41" s="92"/>
    </row>
    <row r="42" spans="1:23" ht="15.9">
      <c r="A42" s="82">
        <v>33</v>
      </c>
      <c r="B42" s="93" t="s">
        <v>74</v>
      </c>
      <c r="C42" s="94">
        <f>'[2]AVTRP22 Table'!$G41</f>
        <v>24729985227</v>
      </c>
      <c r="D42" s="95">
        <f>[3]Table!C35</f>
        <v>1.6609999999999999E-3</v>
      </c>
      <c r="E42" s="96">
        <f>[3]Table!D35</f>
        <v>0</v>
      </c>
      <c r="F42" s="96">
        <f>[3]Table!E35</f>
        <v>7.3099999999999999E-4</v>
      </c>
      <c r="G42" s="95">
        <f>[3]Table!F35</f>
        <v>4.6E-5</v>
      </c>
      <c r="H42" s="96">
        <f>[3]Table!G35</f>
        <v>2.0900000000000001E-4</v>
      </c>
      <c r="I42" s="96">
        <f>[3]Table!H35</f>
        <v>1.1000000000000001E-3</v>
      </c>
      <c r="J42" s="95">
        <f>[3]Table!I35</f>
        <v>2.3E-3</v>
      </c>
      <c r="K42" s="96">
        <f>[3]Table!J35</f>
        <v>0</v>
      </c>
      <c r="L42" s="97">
        <f t="shared" si="0"/>
        <v>6.0470000000000003E-3</v>
      </c>
      <c r="M42" s="98"/>
      <c r="N42" s="204">
        <f t="shared" si="1"/>
        <v>6.0010000000000003E-3</v>
      </c>
      <c r="O42" s="32"/>
      <c r="P42" s="15">
        <f t="shared" si="2"/>
        <v>3.4920000000000003E-3</v>
      </c>
      <c r="Q42" s="26"/>
      <c r="R42" s="46">
        <f t="shared" si="3"/>
        <v>6.0470000000000003E-3</v>
      </c>
      <c r="S42" s="46">
        <f t="shared" si="4"/>
        <v>0</v>
      </c>
      <c r="T42" s="30"/>
      <c r="U42" s="30"/>
      <c r="V42" s="30"/>
      <c r="W42" s="92"/>
    </row>
    <row r="43" spans="1:23" ht="15.9">
      <c r="A43" s="82">
        <v>34</v>
      </c>
      <c r="B43" s="93" t="s">
        <v>75</v>
      </c>
      <c r="C43" s="94">
        <f>'[2]AVTRP22 Table'!$G42</f>
        <v>447784694</v>
      </c>
      <c r="D43" s="95">
        <f>[3]Table!C36</f>
        <v>1.6609999999999999E-3</v>
      </c>
      <c r="E43" s="96">
        <f>[3]Table!D36</f>
        <v>0</v>
      </c>
      <c r="F43" s="96">
        <f>[3]Table!E36</f>
        <v>4.08E-4</v>
      </c>
      <c r="G43" s="95">
        <f>[3]Table!F36</f>
        <v>1.0000000000000001E-5</v>
      </c>
      <c r="H43" s="96">
        <f>[3]Table!G36</f>
        <v>1.08E-3</v>
      </c>
      <c r="I43" s="96">
        <f>[3]Table!H36</f>
        <v>1.3799999999999999E-3</v>
      </c>
      <c r="J43" s="95">
        <f>[3]Table!I36</f>
        <v>0</v>
      </c>
      <c r="K43" s="96">
        <f>[3]Table!J36</f>
        <v>0</v>
      </c>
      <c r="L43" s="97">
        <f t="shared" si="0"/>
        <v>4.5390000000000005E-3</v>
      </c>
      <c r="M43" s="98"/>
      <c r="N43" s="204">
        <f t="shared" si="1"/>
        <v>4.5290000000000009E-3</v>
      </c>
      <c r="O43" s="32"/>
      <c r="P43" s="15">
        <f t="shared" si="2"/>
        <v>3.4489999999999998E-3</v>
      </c>
      <c r="Q43" s="26"/>
      <c r="R43" s="46">
        <f t="shared" si="3"/>
        <v>4.5389999999999996E-3</v>
      </c>
      <c r="S43" s="46">
        <f t="shared" si="4"/>
        <v>0</v>
      </c>
      <c r="T43" s="30"/>
      <c r="U43" s="30"/>
      <c r="V43" s="30"/>
      <c r="W43" s="92"/>
    </row>
    <row r="44" spans="1:23" ht="15.9">
      <c r="A44" s="82">
        <v>35</v>
      </c>
      <c r="B44" s="99" t="s">
        <v>76</v>
      </c>
      <c r="C44" s="100">
        <f>'[2]AVTRP22 Table'!$G43</f>
        <v>16709902965</v>
      </c>
      <c r="D44" s="101">
        <f>[3]Table!C37</f>
        <v>1.6609999999999999E-3</v>
      </c>
      <c r="E44" s="102">
        <f>[3]Table!D37</f>
        <v>0</v>
      </c>
      <c r="F44" s="102">
        <f>[3]Table!E37</f>
        <v>8.3100000000000003E-4</v>
      </c>
      <c r="G44" s="101">
        <f>[3]Table!F37</f>
        <v>6.6000000000000005E-5</v>
      </c>
      <c r="H44" s="102">
        <f>[3]Table!G37</f>
        <v>9.1699999999999995E-4</v>
      </c>
      <c r="I44" s="102">
        <f>[3]Table!H37</f>
        <v>7.4799999999999997E-4</v>
      </c>
      <c r="J44" s="101">
        <f>[3]Table!I37</f>
        <v>1.343E-3</v>
      </c>
      <c r="K44" s="102">
        <f>[3]Table!J37</f>
        <v>0</v>
      </c>
      <c r="L44" s="103">
        <f t="shared" si="0"/>
        <v>5.5659999999999998E-3</v>
      </c>
      <c r="M44" s="98"/>
      <c r="N44" s="204">
        <f t="shared" si="1"/>
        <v>5.4999999999999997E-3</v>
      </c>
      <c r="O44" s="32"/>
      <c r="P44" s="15">
        <f t="shared" si="2"/>
        <v>3.2399999999999998E-3</v>
      </c>
      <c r="Q44" s="26"/>
      <c r="R44" s="46">
        <f t="shared" si="3"/>
        <v>5.5660000000000006E-3</v>
      </c>
      <c r="S44" s="46">
        <f t="shared" si="4"/>
        <v>0</v>
      </c>
      <c r="T44" s="30"/>
      <c r="U44" s="30"/>
      <c r="V44" s="30"/>
      <c r="W44" s="92"/>
    </row>
    <row r="45" spans="1:23" ht="15.9">
      <c r="A45" s="82">
        <v>36</v>
      </c>
      <c r="B45" s="104" t="s">
        <v>77</v>
      </c>
      <c r="C45" s="105">
        <f>'[2]AVTRP22 Table'!$G44</f>
        <v>31896389388</v>
      </c>
      <c r="D45" s="106">
        <f>[3]Table!C38</f>
        <v>1.6609999999999999E-3</v>
      </c>
      <c r="E45" s="107">
        <f>[3]Table!D38</f>
        <v>0</v>
      </c>
      <c r="F45" s="107">
        <f>[3]Table!E38</f>
        <v>1.6050000000000001E-3</v>
      </c>
      <c r="G45" s="106">
        <f>[3]Table!F38</f>
        <v>8.8999999999999995E-5</v>
      </c>
      <c r="H45" s="107">
        <f>[3]Table!G38</f>
        <v>6.7500000000000004E-4</v>
      </c>
      <c r="I45" s="107">
        <f>[3]Table!H38</f>
        <v>6.3299999999999999E-4</v>
      </c>
      <c r="J45" s="106">
        <f>[3]Table!I38</f>
        <v>1.46E-4</v>
      </c>
      <c r="K45" s="107">
        <f>[3]Table!J38</f>
        <v>0</v>
      </c>
      <c r="L45" s="108">
        <f t="shared" si="0"/>
        <v>4.8089999999999999E-3</v>
      </c>
      <c r="M45" s="98"/>
      <c r="N45" s="204">
        <f t="shared" si="1"/>
        <v>4.7200000000000002E-3</v>
      </c>
      <c r="O45" s="32"/>
      <c r="P45" s="15">
        <f t="shared" si="2"/>
        <v>3.8989999999999997E-3</v>
      </c>
      <c r="Q45" s="26"/>
      <c r="R45" s="46">
        <f t="shared" si="3"/>
        <v>4.8089999999999999E-3</v>
      </c>
      <c r="S45" s="46">
        <f t="shared" si="4"/>
        <v>0</v>
      </c>
      <c r="T45" s="30"/>
      <c r="U45" s="30"/>
      <c r="V45" s="30"/>
      <c r="W45" s="92"/>
    </row>
    <row r="46" spans="1:23" ht="15.9">
      <c r="A46" s="82">
        <v>37</v>
      </c>
      <c r="B46" s="93" t="s">
        <v>78</v>
      </c>
      <c r="C46" s="94">
        <f>'[2]AVTRP22 Table'!$G45</f>
        <v>6866983275</v>
      </c>
      <c r="D46" s="95">
        <f>[3]Table!C39</f>
        <v>1.6609999999999999E-3</v>
      </c>
      <c r="E46" s="96">
        <f>[3]Table!D39</f>
        <v>0</v>
      </c>
      <c r="F46" s="96">
        <f>[3]Table!E39</f>
        <v>1.3309999999999999E-3</v>
      </c>
      <c r="G46" s="95">
        <f>[3]Table!F39</f>
        <v>1.6000000000000001E-4</v>
      </c>
      <c r="H46" s="96">
        <f>[3]Table!G39</f>
        <v>1.389E-3</v>
      </c>
      <c r="I46" s="96">
        <f>[3]Table!H39</f>
        <v>1.2440000000000001E-3</v>
      </c>
      <c r="J46" s="95">
        <f>[3]Table!I39</f>
        <v>1.8E-3</v>
      </c>
      <c r="K46" s="96">
        <f>[3]Table!J39</f>
        <v>0</v>
      </c>
      <c r="L46" s="97">
        <f t="shared" si="0"/>
        <v>7.5849999999999997E-3</v>
      </c>
      <c r="M46" s="98"/>
      <c r="N46" s="204">
        <f t="shared" si="1"/>
        <v>7.4249999999999993E-3</v>
      </c>
      <c r="O46" s="32"/>
      <c r="P46" s="15">
        <f t="shared" si="2"/>
        <v>4.2360000000000002E-3</v>
      </c>
      <c r="Q46" s="26"/>
      <c r="R46" s="46">
        <f t="shared" si="3"/>
        <v>7.5849999999999997E-3</v>
      </c>
      <c r="S46" s="46">
        <f t="shared" si="4"/>
        <v>0</v>
      </c>
      <c r="T46" s="30"/>
      <c r="U46" s="30"/>
      <c r="V46" s="30"/>
      <c r="W46" s="92"/>
    </row>
    <row r="47" spans="1:23" ht="15.9">
      <c r="A47" s="82">
        <v>38</v>
      </c>
      <c r="B47" s="93" t="s">
        <v>79</v>
      </c>
      <c r="C47" s="94">
        <f>'[2]AVTRP22 Table'!$G46</f>
        <v>7780845256</v>
      </c>
      <c r="D47" s="95">
        <f>[3]Table!C40</f>
        <v>1.6609999999999999E-3</v>
      </c>
      <c r="E47" s="96">
        <f>[3]Table!D40</f>
        <v>0</v>
      </c>
      <c r="F47" s="96">
        <f>[3]Table!E40</f>
        <v>1.7340000000000001E-3</v>
      </c>
      <c r="G47" s="95">
        <f>[3]Table!F40</f>
        <v>9.1000000000000003E-5</v>
      </c>
      <c r="H47" s="96">
        <f>[3]Table!G40</f>
        <v>1.271E-3</v>
      </c>
      <c r="I47" s="96">
        <f>[3]Table!H40</f>
        <v>9.1100000000000003E-4</v>
      </c>
      <c r="J47" s="95">
        <f>[3]Table!I40</f>
        <v>1.3489999999999999E-3</v>
      </c>
      <c r="K47" s="96">
        <f>[3]Table!J40</f>
        <v>0</v>
      </c>
      <c r="L47" s="97">
        <f t="shared" si="0"/>
        <v>7.0170000000000007E-3</v>
      </c>
      <c r="M47" s="98"/>
      <c r="N47" s="204">
        <f t="shared" si="1"/>
        <v>6.9260000000000007E-3</v>
      </c>
      <c r="O47" s="32"/>
      <c r="P47" s="15">
        <f t="shared" si="2"/>
        <v>4.3059999999999999E-3</v>
      </c>
      <c r="Q47" s="26"/>
      <c r="R47" s="46">
        <f t="shared" si="3"/>
        <v>7.0169999999999998E-3</v>
      </c>
      <c r="S47" s="46">
        <f t="shared" si="4"/>
        <v>0</v>
      </c>
      <c r="T47" s="30"/>
      <c r="U47" s="30"/>
      <c r="V47" s="30"/>
      <c r="W47" s="92"/>
    </row>
    <row r="48" spans="1:23" ht="15.9">
      <c r="A48" s="82">
        <v>39</v>
      </c>
      <c r="B48" s="99" t="s">
        <v>80</v>
      </c>
      <c r="C48" s="100">
        <f>'[2]AVTRP22 Table'!$G47</f>
        <v>3526476926</v>
      </c>
      <c r="D48" s="101">
        <f>[3]Table!C41</f>
        <v>1.6609999999999999E-3</v>
      </c>
      <c r="E48" s="102">
        <f>[3]Table!D41</f>
        <v>0</v>
      </c>
      <c r="F48" s="102">
        <f>[3]Table!E41</f>
        <v>1.7099999999999999E-3</v>
      </c>
      <c r="G48" s="101">
        <f>[3]Table!F41</f>
        <v>1.7899999999999999E-4</v>
      </c>
      <c r="H48" s="102">
        <f>[3]Table!G41</f>
        <v>1.676E-3</v>
      </c>
      <c r="I48" s="102">
        <f>[3]Table!H41</f>
        <v>1.2099999999999999E-3</v>
      </c>
      <c r="J48" s="101">
        <f>[3]Table!I41</f>
        <v>1E-3</v>
      </c>
      <c r="K48" s="102">
        <f>[3]Table!J41</f>
        <v>0</v>
      </c>
      <c r="L48" s="103">
        <f t="shared" si="0"/>
        <v>7.4359999999999999E-3</v>
      </c>
      <c r="M48" s="98"/>
      <c r="N48" s="204">
        <f t="shared" si="1"/>
        <v>7.2569999999999996E-3</v>
      </c>
      <c r="O48" s="32"/>
      <c r="P48" s="15">
        <f t="shared" si="2"/>
        <v>4.581E-3</v>
      </c>
      <c r="Q48" s="26"/>
      <c r="R48" s="46">
        <f t="shared" si="3"/>
        <v>7.4359999999999999E-3</v>
      </c>
      <c r="S48" s="46">
        <f t="shared" si="4"/>
        <v>0</v>
      </c>
      <c r="T48" s="30"/>
      <c r="U48" s="30"/>
      <c r="V48" s="30"/>
      <c r="W48" s="92"/>
    </row>
    <row r="49" spans="1:23" ht="15.9">
      <c r="A49" s="82">
        <v>40</v>
      </c>
      <c r="B49" s="104" t="s">
        <v>81</v>
      </c>
      <c r="C49" s="105">
        <f>'[2]AVTRP22 Table'!$G48</f>
        <v>4797458312</v>
      </c>
      <c r="D49" s="106">
        <f>[3]Table!C42</f>
        <v>1.6609999999999999E-3</v>
      </c>
      <c r="E49" s="107">
        <f>[3]Table!D42</f>
        <v>1.34E-3</v>
      </c>
      <c r="F49" s="107">
        <f>[3]Table!E42</f>
        <v>0</v>
      </c>
      <c r="G49" s="106">
        <f>[3]Table!F42</f>
        <v>5.1999999999999997E-5</v>
      </c>
      <c r="H49" s="107">
        <f>[3]Table!G42</f>
        <v>5.53E-4</v>
      </c>
      <c r="I49" s="107">
        <f>[3]Table!H42</f>
        <v>1.5479999999999999E-3</v>
      </c>
      <c r="J49" s="106">
        <f>[3]Table!I42</f>
        <v>6.3100000000000005E-4</v>
      </c>
      <c r="K49" s="107">
        <f>[3]Table!J42</f>
        <v>0</v>
      </c>
      <c r="L49" s="108">
        <f t="shared" si="0"/>
        <v>5.7850000000000002E-3</v>
      </c>
      <c r="M49" s="98"/>
      <c r="N49" s="204">
        <f t="shared" si="1"/>
        <v>5.7330000000000002E-3</v>
      </c>
      <c r="O49" s="32"/>
      <c r="P49" s="15">
        <f t="shared" si="2"/>
        <v>4.5490000000000001E-3</v>
      </c>
      <c r="Q49" s="26"/>
      <c r="R49" s="46">
        <f t="shared" si="3"/>
        <v>5.7850000000000002E-3</v>
      </c>
      <c r="S49" s="46">
        <f t="shared" si="4"/>
        <v>0</v>
      </c>
      <c r="T49" s="30"/>
      <c r="U49" s="30"/>
      <c r="V49" s="30"/>
      <c r="W49" s="92"/>
    </row>
    <row r="50" spans="1:23" ht="15.9">
      <c r="A50" s="82">
        <v>42</v>
      </c>
      <c r="B50" s="99" t="s">
        <v>112</v>
      </c>
      <c r="C50" s="100">
        <f>'[2]AVTRP22 Table'!$G49</f>
        <v>27213975894</v>
      </c>
      <c r="D50" s="101">
        <f>[3]Table!C43</f>
        <v>1.6609999999999999E-3</v>
      </c>
      <c r="E50" s="102">
        <f>[3]Table!D43</f>
        <v>0</v>
      </c>
      <c r="F50" s="102">
        <f>[3]Table!E43</f>
        <v>1.3420000000000001E-3</v>
      </c>
      <c r="G50" s="101">
        <f>[3]Table!F43</f>
        <v>8.7000000000000001E-5</v>
      </c>
      <c r="H50" s="102">
        <f>[3]Table!G43</f>
        <v>7.7700000000000002E-4</v>
      </c>
      <c r="I50" s="102">
        <f>[3]Table!H43</f>
        <v>1.6000000000000001E-3</v>
      </c>
      <c r="J50" s="101">
        <f>[3]Table!I43</f>
        <v>1.176E-3</v>
      </c>
      <c r="K50" s="102">
        <f>[3]Table!J43</f>
        <v>0</v>
      </c>
      <c r="L50" s="103">
        <f t="shared" si="0"/>
        <v>6.6429999999999996E-3</v>
      </c>
      <c r="M50" s="98"/>
      <c r="N50" s="204">
        <f t="shared" si="1"/>
        <v>6.5559999999999993E-3</v>
      </c>
      <c r="O50" s="32"/>
      <c r="P50" s="15">
        <f t="shared" si="2"/>
        <v>4.6030000000000003E-3</v>
      </c>
      <c r="Q50" s="26"/>
      <c r="R50" s="46">
        <f t="shared" si="3"/>
        <v>6.6430000000000005E-3</v>
      </c>
      <c r="S50" s="46">
        <f t="shared" si="4"/>
        <v>0</v>
      </c>
      <c r="T50" s="30"/>
      <c r="U50" s="30"/>
      <c r="V50" s="30"/>
      <c r="W50" s="92"/>
    </row>
    <row r="51" spans="1:23" ht="12" thickBot="1">
      <c r="A51" s="109"/>
      <c r="B51" s="110" t="s">
        <v>84</v>
      </c>
      <c r="C51" s="111">
        <f>SUM(C10:C50)</f>
        <v>356494688042</v>
      </c>
      <c r="D51" s="112"/>
      <c r="E51" s="113"/>
      <c r="F51" s="113"/>
      <c r="G51" s="112"/>
      <c r="H51" s="113"/>
      <c r="I51" s="113"/>
      <c r="J51" s="112"/>
      <c r="K51" s="113"/>
      <c r="L51" s="114"/>
      <c r="M51" s="88"/>
      <c r="N51" s="205"/>
      <c r="O51" s="115"/>
      <c r="P51" s="91"/>
      <c r="Q51" s="88"/>
      <c r="R51" s="88"/>
      <c r="S51" s="88"/>
      <c r="T51" s="88"/>
      <c r="U51" s="88"/>
      <c r="V51" s="88"/>
      <c r="W51" s="92"/>
    </row>
    <row r="52" spans="1:23" s="70" customFormat="1" ht="12.9" thickBot="1">
      <c r="A52" s="116"/>
      <c r="B52" s="117" t="s">
        <v>107</v>
      </c>
      <c r="C52" s="118"/>
      <c r="D52" s="119">
        <f>AVERAGE(D10:D50)</f>
        <v>1.6610000000000006E-3</v>
      </c>
      <c r="E52" s="120">
        <f t="shared" ref="E52:L52" si="5">AVERAGE(E10:E50)</f>
        <v>3.3009756097560978E-4</v>
      </c>
      <c r="F52" s="120">
        <f t="shared" si="5"/>
        <v>1.2644146341463415E-3</v>
      </c>
      <c r="G52" s="121">
        <f t="shared" si="5"/>
        <v>5.6853658536585363E-5</v>
      </c>
      <c r="H52" s="120">
        <f t="shared" si="5"/>
        <v>1.1743414634146339E-3</v>
      </c>
      <c r="I52" s="120">
        <f t="shared" si="5"/>
        <v>1.0977317073170732E-3</v>
      </c>
      <c r="J52" s="121">
        <f t="shared" si="5"/>
        <v>1.1353658536585368E-3</v>
      </c>
      <c r="K52" s="122"/>
      <c r="L52" s="123">
        <f t="shared" si="5"/>
        <v>6.7215121951219496E-3</v>
      </c>
      <c r="N52" s="206">
        <f>AVERAGE(N10:N51)</f>
        <v>6.6646585365853668E-3</v>
      </c>
      <c r="O52" s="124"/>
    </row>
    <row r="53" spans="1:23" ht="12.45" hidden="1">
      <c r="A53" s="52"/>
      <c r="B53" s="125" t="s">
        <v>154</v>
      </c>
      <c r="C53" s="88"/>
      <c r="D53" s="126"/>
      <c r="E53" s="127"/>
      <c r="F53" s="128"/>
      <c r="G53" s="128"/>
      <c r="H53" s="128"/>
      <c r="I53" s="129"/>
      <c r="J53" s="128"/>
      <c r="K53" s="128"/>
      <c r="L53" s="130"/>
      <c r="N53" s="207"/>
    </row>
    <row r="54" spans="1:23" ht="12.45" hidden="1">
      <c r="A54" s="52"/>
      <c r="B54" s="131" t="s">
        <v>155</v>
      </c>
      <c r="F54" s="132"/>
      <c r="G54" s="132"/>
      <c r="H54" s="132"/>
      <c r="I54" s="133"/>
      <c r="J54" s="134"/>
      <c r="K54" s="135"/>
    </row>
    <row r="55" spans="1:23">
      <c r="A55" s="52"/>
      <c r="B55" s="125" t="s">
        <v>156</v>
      </c>
      <c r="F55" s="132"/>
      <c r="G55" s="132"/>
      <c r="H55" s="132"/>
      <c r="I55" s="129"/>
      <c r="K55" s="128"/>
      <c r="N55" s="208"/>
    </row>
    <row r="56" spans="1:23">
      <c r="A56" s="52"/>
      <c r="B56" s="125" t="s">
        <v>157</v>
      </c>
      <c r="K56" s="128"/>
      <c r="N56" s="208"/>
    </row>
    <row r="57" spans="1:23">
      <c r="A57" s="52"/>
      <c r="B57" s="136" t="s">
        <v>108</v>
      </c>
      <c r="F57" s="132"/>
      <c r="G57" s="132"/>
      <c r="H57" s="132"/>
      <c r="I57" s="137"/>
      <c r="K57" s="128"/>
      <c r="N57" s="208"/>
    </row>
  </sheetData>
  <mergeCells count="3">
    <mergeCell ref="B1:K1"/>
    <mergeCell ref="B2:K2"/>
    <mergeCell ref="B3:K3"/>
  </mergeCells>
  <printOptions horizontalCentered="1" verticalCentered="1" gridLinesSet="0"/>
  <pageMargins left="0.17" right="0.17" top="0.17" bottom="0.17" header="0.17" footer="0.17"/>
  <pageSetup scale="80" fitToWidth="0" pageOrder="overThenDown" orientation="landscape" r:id="rId1"/>
  <headerFooter alignWithMargins="0">
    <oddHeader>&amp;L&amp;"+,Bold Italic"&amp;8Status: Pre-Final&amp;R&amp;"Helv,Bold Italic"&amp;8Current as of: 30-Sept-2014</oddHeader>
    <oddFooter>&amp;L&amp;"+,Bold Italic"&amp;8Source: Rates: State Tax Commission and School Districts;  Est. Valuations: USOE.
Compiled by USOE; School Finance--Cathy Dudley&amp;C&amp;"+,Bold Italic"&amp;8Page &amp;P&amp;R&amp;"+,Bold Italic"&amp;8&amp;Z&amp;F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Worksheet</vt:lpstr>
      <vt:lpstr>Summary Sheet</vt:lpstr>
      <vt:lpstr>AFR-APR</vt:lpstr>
      <vt:lpstr>VALTAX22</vt:lpstr>
      <vt:lpstr>Data</vt:lpstr>
      <vt:lpstr>Districtname</vt:lpstr>
      <vt:lpstr>maindata</vt:lpstr>
      <vt:lpstr>'Summary Sheet'!Print_Area</vt:lpstr>
      <vt:lpstr>VALTAX22!Print_Area</vt:lpstr>
      <vt:lpstr>Worksheet!Print_Area</vt:lpstr>
      <vt:lpstr>VALTAX22!Print_Area_MI</vt:lpstr>
      <vt:lpstr>'Summary Sheet'!Print_Titles</vt:lpstr>
    </vt:vector>
  </TitlesOfParts>
  <Company>usoe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USOE</dc:creator>
  <cp:lastModifiedBy>Frost, Dale</cp:lastModifiedBy>
  <cp:lastPrinted>2014-02-20T00:20:46Z</cp:lastPrinted>
  <dcterms:created xsi:type="dcterms:W3CDTF">1999-08-11T15:10:05Z</dcterms:created>
  <dcterms:modified xsi:type="dcterms:W3CDTF">2023-03-30T16:12:29Z</dcterms:modified>
</cp:coreProperties>
</file>