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never"/>
  <mc:AlternateContent xmlns:mc="http://schemas.openxmlformats.org/markup-compatibility/2006">
    <mc:Choice Requires="x15">
      <x15ac:absPath xmlns:x15ac="http://schemas.microsoft.com/office/spreadsheetml/2010/11/ac" url="https://usbe-my.sharepoint.com/personal/noralee_green_schools_utah_gov/Documents/Desktop/"/>
    </mc:Choice>
  </mc:AlternateContent>
  <xr:revisionPtr revIDLastSave="0" documentId="13_ncr:1_{0FC5A018-1459-4F0F-9E2C-2498D2A18695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Worksheet" sheetId="1" r:id="rId1"/>
    <sheet name="Summary Sheet" sheetId="4" r:id="rId2"/>
    <sheet name="AFRAPR" sheetId="22" r:id="rId3"/>
    <sheet name="VALTAX26" sheetId="23" r:id="rId4"/>
    <sheet name="Data Table 4.15.2026" sheetId="24" r:id="rId5"/>
  </sheets>
  <definedNames>
    <definedName name="_xlnm._FilterDatabase" localSheetId="4" hidden="1">'Data Table 4.15.2026'!$B$1:$BM$158</definedName>
    <definedName name="_Key1" localSheetId="3" hidden="1">VALTAX26!#REF!</definedName>
    <definedName name="_Order1" localSheetId="3" hidden="1">0</definedName>
    <definedName name="_Regression_Int" localSheetId="3" hidden="1">1</definedName>
    <definedName name="_Sort" localSheetId="3" hidden="1">VALTAX26!#REF!</definedName>
    <definedName name="Data24" localSheetId="2">AFRAPR!$C$5:$W$45</definedName>
    <definedName name="Data24">#REF!</definedName>
    <definedName name="Data25">AFRAPR!$C$5:$W$45</definedName>
    <definedName name="Districtname" localSheetId="2">#REF!</definedName>
    <definedName name="Districtname">Worksheet!$E$7</definedName>
    <definedName name="_xlnm.Print_Area" localSheetId="1">'Summary Sheet'!$A$1:$D$50</definedName>
    <definedName name="_xlnm.Print_Area" localSheetId="3">VALTAX26!$A$1:$K$57</definedName>
    <definedName name="_xlnm.Print_Area" localSheetId="0">Worksheet!$A$1:$F$44</definedName>
    <definedName name="Print_Area_MI">VALTAX26!$B$1:$G$57</definedName>
    <definedName name="_xlnm.Print_Titles" localSheetId="1">'Summary Sheet'!$A:$A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" i="4" l="1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9" i="4"/>
  <c r="B8" i="4"/>
  <c r="U6" i="22" l="1"/>
  <c r="U7" i="22"/>
  <c r="U8" i="22"/>
  <c r="U9" i="22"/>
  <c r="U10" i="22"/>
  <c r="U11" i="22"/>
  <c r="U12" i="22"/>
  <c r="U13" i="22"/>
  <c r="U14" i="22"/>
  <c r="U15" i="22"/>
  <c r="U16" i="22"/>
  <c r="U17" i="22"/>
  <c r="U18" i="22"/>
  <c r="U19" i="22"/>
  <c r="U20" i="22"/>
  <c r="U21" i="22"/>
  <c r="U22" i="22"/>
  <c r="U23" i="22"/>
  <c r="U24" i="22"/>
  <c r="U25" i="22"/>
  <c r="U26" i="22"/>
  <c r="U27" i="22"/>
  <c r="U28" i="22"/>
  <c r="U29" i="22"/>
  <c r="U30" i="22"/>
  <c r="U31" i="22"/>
  <c r="U32" i="22"/>
  <c r="U33" i="22"/>
  <c r="U34" i="22"/>
  <c r="U35" i="22"/>
  <c r="U36" i="22"/>
  <c r="U37" i="22"/>
  <c r="U38" i="22"/>
  <c r="U39" i="22"/>
  <c r="U40" i="22"/>
  <c r="U41" i="22"/>
  <c r="U42" i="22"/>
  <c r="U43" i="22"/>
  <c r="U44" i="22"/>
  <c r="U45" i="22"/>
  <c r="U5" i="22"/>
  <c r="FX187" i="24"/>
  <c r="FQ187" i="24"/>
  <c r="FR187" i="24"/>
  <c r="FS187" i="24"/>
  <c r="DX187" i="24"/>
  <c r="DP187" i="24"/>
  <c r="DO187" i="24"/>
  <c r="GA176" i="24"/>
  <c r="DI176" i="24"/>
  <c r="FH174" i="24"/>
  <c r="HU173" i="24"/>
  <c r="HS173" i="24"/>
  <c r="HR173" i="24"/>
  <c r="HQ173" i="24"/>
  <c r="HP173" i="24"/>
  <c r="HO173" i="24"/>
  <c r="HN173" i="24"/>
  <c r="HL173" i="24"/>
  <c r="HK173" i="24"/>
  <c r="HJ173" i="24"/>
  <c r="HI173" i="24"/>
  <c r="HH173" i="24"/>
  <c r="HG173" i="24"/>
  <c r="HF173" i="24"/>
  <c r="HE173" i="24"/>
  <c r="HE174" i="24" s="1"/>
  <c r="HD173" i="24"/>
  <c r="HC173" i="24"/>
  <c r="HB173" i="24"/>
  <c r="HA173" i="24"/>
  <c r="GZ173" i="24"/>
  <c r="GY173" i="24"/>
  <c r="GX173" i="24"/>
  <c r="GW173" i="24"/>
  <c r="GV173" i="24"/>
  <c r="GU173" i="24"/>
  <c r="GT173" i="24"/>
  <c r="GS173" i="24"/>
  <c r="GS174" i="24" s="1"/>
  <c r="GR173" i="24"/>
  <c r="GQ173" i="24"/>
  <c r="GP173" i="24"/>
  <c r="GO173" i="24"/>
  <c r="GN173" i="24"/>
  <c r="GM173" i="24"/>
  <c r="GL173" i="24"/>
  <c r="GK173" i="24"/>
  <c r="GJ173" i="24"/>
  <c r="GI173" i="24"/>
  <c r="GH173" i="24"/>
  <c r="GG173" i="24"/>
  <c r="GG174" i="24" s="1"/>
  <c r="GF173" i="24"/>
  <c r="GE173" i="24"/>
  <c r="GD173" i="24"/>
  <c r="GC173" i="24"/>
  <c r="GB173" i="24"/>
  <c r="GA173" i="24"/>
  <c r="FZ173" i="24"/>
  <c r="FY173" i="24"/>
  <c r="FX173" i="24"/>
  <c r="FW173" i="24"/>
  <c r="FV173" i="24"/>
  <c r="FU173" i="24"/>
  <c r="FT173" i="24"/>
  <c r="FS173" i="24"/>
  <c r="FR173" i="24"/>
  <c r="FQ173" i="24"/>
  <c r="FP173" i="24"/>
  <c r="FO173" i="24"/>
  <c r="FN173" i="24"/>
  <c r="FM173" i="24"/>
  <c r="FL173" i="24"/>
  <c r="FK173" i="24"/>
  <c r="FJ173" i="24"/>
  <c r="FI173" i="24"/>
  <c r="FI174" i="24" s="1"/>
  <c r="FH173" i="24"/>
  <c r="FG173" i="24"/>
  <c r="FF173" i="24"/>
  <c r="FE173" i="24"/>
  <c r="FD173" i="24"/>
  <c r="FC173" i="24"/>
  <c r="FB173" i="24"/>
  <c r="FA173" i="24"/>
  <c r="EZ173" i="24"/>
  <c r="EY173" i="24"/>
  <c r="EX173" i="24"/>
  <c r="EW173" i="24"/>
  <c r="EV173" i="24"/>
  <c r="EU173" i="24"/>
  <c r="ET173" i="24"/>
  <c r="ES173" i="24"/>
  <c r="ER173" i="24"/>
  <c r="EQ173" i="24"/>
  <c r="EP173" i="24"/>
  <c r="EO173" i="24"/>
  <c r="EN173" i="24"/>
  <c r="EM173" i="24"/>
  <c r="EL173" i="24"/>
  <c r="EK173" i="24"/>
  <c r="EJ173" i="24"/>
  <c r="EI173" i="24"/>
  <c r="EH173" i="24"/>
  <c r="EG173" i="24"/>
  <c r="EF173" i="24"/>
  <c r="EE173" i="24"/>
  <c r="ED173" i="24"/>
  <c r="EC173" i="24"/>
  <c r="EB173" i="24"/>
  <c r="EA173" i="24"/>
  <c r="DZ173" i="24"/>
  <c r="DY173" i="24"/>
  <c r="DX173" i="24"/>
  <c r="DW173" i="24"/>
  <c r="DV173" i="24"/>
  <c r="DU173" i="24"/>
  <c r="DT173" i="24"/>
  <c r="DS173" i="24"/>
  <c r="DR173" i="24"/>
  <c r="DQ173" i="24"/>
  <c r="DP173" i="24"/>
  <c r="DO173" i="24"/>
  <c r="DN173" i="24"/>
  <c r="DM173" i="24"/>
  <c r="DL173" i="24"/>
  <c r="DK173" i="24"/>
  <c r="DJ173" i="24"/>
  <c r="DI173" i="24"/>
  <c r="DH173" i="24"/>
  <c r="DG173" i="24"/>
  <c r="DF173" i="24"/>
  <c r="DE173" i="24"/>
  <c r="DD173" i="24"/>
  <c r="DC173" i="24"/>
  <c r="DB173" i="24"/>
  <c r="DA173" i="24"/>
  <c r="CZ173" i="24"/>
  <c r="CY173" i="24"/>
  <c r="CX173" i="24"/>
  <c r="CW173" i="24"/>
  <c r="CV173" i="24"/>
  <c r="CU173" i="24"/>
  <c r="CT173" i="24"/>
  <c r="CS173" i="24"/>
  <c r="CR173" i="24"/>
  <c r="CQ173" i="24"/>
  <c r="CP173" i="24"/>
  <c r="CO173" i="24"/>
  <c r="CN173" i="24"/>
  <c r="CM173" i="24"/>
  <c r="CL173" i="24"/>
  <c r="CK173" i="24"/>
  <c r="CJ173" i="24"/>
  <c r="CI173" i="24"/>
  <c r="CH173" i="24"/>
  <c r="CG173" i="24"/>
  <c r="CF173" i="24"/>
  <c r="CE173" i="24"/>
  <c r="CD173" i="24"/>
  <c r="CC173" i="24"/>
  <c r="CB173" i="24"/>
  <c r="CA173" i="24"/>
  <c r="BZ173" i="24"/>
  <c r="BY173" i="24"/>
  <c r="BX173" i="24"/>
  <c r="BW173" i="24"/>
  <c r="BV173" i="24"/>
  <c r="BU173" i="24"/>
  <c r="BT173" i="24"/>
  <c r="BS173" i="24"/>
  <c r="BR173" i="24"/>
  <c r="BQ173" i="24"/>
  <c r="BP173" i="24"/>
  <c r="BO173" i="24"/>
  <c r="BN173" i="24"/>
  <c r="BM173" i="24"/>
  <c r="BL173" i="24"/>
  <c r="BK173" i="24"/>
  <c r="BJ173" i="24"/>
  <c r="BI173" i="24"/>
  <c r="BH173" i="24"/>
  <c r="BG173" i="24"/>
  <c r="BF173" i="24"/>
  <c r="BE173" i="24"/>
  <c r="BD173" i="24"/>
  <c r="BC173" i="24"/>
  <c r="BB173" i="24"/>
  <c r="BA173" i="24"/>
  <c r="AZ173" i="24"/>
  <c r="AY173" i="24"/>
  <c r="AX173" i="24"/>
  <c r="AW173" i="24"/>
  <c r="AV173" i="24"/>
  <c r="AU173" i="24"/>
  <c r="AT173" i="24"/>
  <c r="AS173" i="24"/>
  <c r="AR173" i="24"/>
  <c r="AQ173" i="24"/>
  <c r="AP173" i="24"/>
  <c r="AO173" i="24"/>
  <c r="AN173" i="24"/>
  <c r="AM173" i="24"/>
  <c r="AL173" i="24"/>
  <c r="AK173" i="24"/>
  <c r="AJ173" i="24"/>
  <c r="AI173" i="24"/>
  <c r="AH173" i="24"/>
  <c r="AG173" i="24"/>
  <c r="AF173" i="24"/>
  <c r="AE173" i="24"/>
  <c r="AD173" i="24"/>
  <c r="AC173" i="24"/>
  <c r="AB173" i="24"/>
  <c r="AA173" i="24"/>
  <c r="Z173" i="24"/>
  <c r="Y173" i="24"/>
  <c r="X173" i="24"/>
  <c r="W173" i="24"/>
  <c r="V173" i="24"/>
  <c r="U173" i="24"/>
  <c r="T173" i="24"/>
  <c r="S173" i="24"/>
  <c r="R173" i="24"/>
  <c r="Q173" i="24"/>
  <c r="P173" i="24"/>
  <c r="O173" i="24"/>
  <c r="N173" i="24"/>
  <c r="M173" i="24"/>
  <c r="L173" i="24"/>
  <c r="K173" i="24"/>
  <c r="J173" i="24"/>
  <c r="I173" i="24"/>
  <c r="H173" i="24"/>
  <c r="HU172" i="24"/>
  <c r="HS172" i="24"/>
  <c r="HR172" i="24"/>
  <c r="HQ172" i="24"/>
  <c r="HP172" i="24"/>
  <c r="HO172" i="24"/>
  <c r="HN172" i="24"/>
  <c r="HL172" i="24"/>
  <c r="HL176" i="24" s="1"/>
  <c r="HK172" i="24"/>
  <c r="HJ172" i="24"/>
  <c r="HI172" i="24"/>
  <c r="HH172" i="24"/>
  <c r="HG172" i="24"/>
  <c r="HF172" i="24"/>
  <c r="HE172" i="24"/>
  <c r="HD172" i="24"/>
  <c r="HC172" i="24"/>
  <c r="HB172" i="24"/>
  <c r="HA172" i="24"/>
  <c r="GZ172" i="24"/>
  <c r="GZ176" i="24" s="1"/>
  <c r="GY172" i="24"/>
  <c r="GX172" i="24"/>
  <c r="GW172" i="24"/>
  <c r="GV172" i="24"/>
  <c r="GU172" i="24"/>
  <c r="GT172" i="24"/>
  <c r="GS172" i="24"/>
  <c r="GR172" i="24"/>
  <c r="GQ172" i="24"/>
  <c r="GP172" i="24"/>
  <c r="GO172" i="24"/>
  <c r="GN172" i="24"/>
  <c r="GN176" i="24" s="1"/>
  <c r="GM172" i="24"/>
  <c r="GL172" i="24"/>
  <c r="GK172" i="24"/>
  <c r="GJ172" i="24"/>
  <c r="GI172" i="24"/>
  <c r="GH172" i="24"/>
  <c r="GG172" i="24"/>
  <c r="GF172" i="24"/>
  <c r="GE172" i="24"/>
  <c r="GD172" i="24"/>
  <c r="GC172" i="24"/>
  <c r="GB172" i="24"/>
  <c r="GB176" i="24" s="1"/>
  <c r="GA172" i="24"/>
  <c r="FZ172" i="24"/>
  <c r="FY172" i="24"/>
  <c r="FX172" i="24"/>
  <c r="FW172" i="24"/>
  <c r="FV172" i="24"/>
  <c r="FU172" i="24"/>
  <c r="FT172" i="24"/>
  <c r="FS172" i="24"/>
  <c r="FR172" i="24"/>
  <c r="FQ172" i="24"/>
  <c r="FP172" i="24"/>
  <c r="FP176" i="24" s="1"/>
  <c r="FO172" i="24"/>
  <c r="FO176" i="24" s="1"/>
  <c r="FN172" i="24"/>
  <c r="FM172" i="24"/>
  <c r="FM176" i="24" s="1"/>
  <c r="FL172" i="24"/>
  <c r="FK172" i="24"/>
  <c r="FJ172" i="24"/>
  <c r="FI172" i="24"/>
  <c r="FH172" i="24"/>
  <c r="FG172" i="24"/>
  <c r="FF172" i="24"/>
  <c r="FE172" i="24"/>
  <c r="FD172" i="24"/>
  <c r="FD176" i="24" s="1"/>
  <c r="FC172" i="24"/>
  <c r="FC176" i="24" s="1"/>
  <c r="FB172" i="24"/>
  <c r="FB176" i="24" s="1"/>
  <c r="FA172" i="24"/>
  <c r="FA176" i="24" s="1"/>
  <c r="EZ172" i="24"/>
  <c r="EY172" i="24"/>
  <c r="EX172" i="24"/>
  <c r="EW172" i="24"/>
  <c r="EV172" i="24"/>
  <c r="EU172" i="24"/>
  <c r="ET172" i="24"/>
  <c r="ES172" i="24"/>
  <c r="ES176" i="24" s="1"/>
  <c r="ER172" i="24"/>
  <c r="ER176" i="24" s="1"/>
  <c r="EQ172" i="24"/>
  <c r="EP172" i="24"/>
  <c r="EO172" i="24"/>
  <c r="EO176" i="24" s="1"/>
  <c r="EN172" i="24"/>
  <c r="EM172" i="24"/>
  <c r="EL172" i="24"/>
  <c r="EK172" i="24"/>
  <c r="EJ172" i="24"/>
  <c r="EI172" i="24"/>
  <c r="EH172" i="24"/>
  <c r="EG172" i="24"/>
  <c r="EG176" i="24" s="1"/>
  <c r="EF172" i="24"/>
  <c r="EF176" i="24" s="1"/>
  <c r="EE172" i="24"/>
  <c r="ED172" i="24"/>
  <c r="EC172" i="24"/>
  <c r="EC176" i="24" s="1"/>
  <c r="EB172" i="24"/>
  <c r="EA172" i="24"/>
  <c r="DZ172" i="24"/>
  <c r="DY172" i="24"/>
  <c r="DX172" i="24"/>
  <c r="DW172" i="24"/>
  <c r="DV172" i="24"/>
  <c r="DU172" i="24"/>
  <c r="DU176" i="24" s="1"/>
  <c r="DT172" i="24"/>
  <c r="DT176" i="24" s="1"/>
  <c r="DS172" i="24"/>
  <c r="DS176" i="24" s="1"/>
  <c r="DR172" i="24"/>
  <c r="DQ172" i="24"/>
  <c r="DQ176" i="24" s="1"/>
  <c r="DP172" i="24"/>
  <c r="DO172" i="24"/>
  <c r="DN172" i="24"/>
  <c r="DM172" i="24"/>
  <c r="DL172" i="24"/>
  <c r="DK172" i="24"/>
  <c r="DJ172" i="24"/>
  <c r="DI172" i="24"/>
  <c r="DH172" i="24"/>
  <c r="DH176" i="24" s="1"/>
  <c r="DG172" i="24"/>
  <c r="DG176" i="24" s="1"/>
  <c r="DF172" i="24"/>
  <c r="DE172" i="24"/>
  <c r="DE176" i="24" s="1"/>
  <c r="DD172" i="24"/>
  <c r="DC172" i="24"/>
  <c r="DB172" i="24"/>
  <c r="DA172" i="24"/>
  <c r="CZ172" i="24"/>
  <c r="CY172" i="24"/>
  <c r="CX172" i="24"/>
  <c r="CW172" i="24"/>
  <c r="CW176" i="24" s="1"/>
  <c r="CV172" i="24"/>
  <c r="CV176" i="24" s="1"/>
  <c r="CU172" i="24"/>
  <c r="CT172" i="24"/>
  <c r="CS172" i="24"/>
  <c r="CS176" i="24" s="1"/>
  <c r="CR172" i="24"/>
  <c r="CQ172" i="24"/>
  <c r="CP172" i="24"/>
  <c r="CO172" i="24"/>
  <c r="CN172" i="24"/>
  <c r="CM172" i="24"/>
  <c r="CL172" i="24"/>
  <c r="CK172" i="24"/>
  <c r="CK176" i="24" s="1"/>
  <c r="CJ172" i="24"/>
  <c r="CJ176" i="24" s="1"/>
  <c r="CI172" i="24"/>
  <c r="CH172" i="24"/>
  <c r="CG172" i="24"/>
  <c r="CG176" i="24" s="1"/>
  <c r="CF172" i="24"/>
  <c r="CE172" i="24"/>
  <c r="CD172" i="24"/>
  <c r="CC172" i="24"/>
  <c r="CB172" i="24"/>
  <c r="CA172" i="24"/>
  <c r="BZ172" i="24"/>
  <c r="BY172" i="24"/>
  <c r="BY176" i="24" s="1"/>
  <c r="BX172" i="24"/>
  <c r="BX176" i="24" s="1"/>
  <c r="BW172" i="24"/>
  <c r="BW176" i="24" s="1"/>
  <c r="BV172" i="24"/>
  <c r="BU172" i="24"/>
  <c r="BU176" i="24" s="1"/>
  <c r="BT172" i="24"/>
  <c r="BS172" i="24"/>
  <c r="BR172" i="24"/>
  <c r="BQ172" i="24"/>
  <c r="BP172" i="24"/>
  <c r="BO172" i="24"/>
  <c r="BN172" i="24"/>
  <c r="BM172" i="24"/>
  <c r="BM176" i="24" s="1"/>
  <c r="BL172" i="24"/>
  <c r="BL176" i="24" s="1"/>
  <c r="BK172" i="24"/>
  <c r="BJ172" i="24"/>
  <c r="BI172" i="24"/>
  <c r="BI176" i="24" s="1"/>
  <c r="BH172" i="24"/>
  <c r="BG172" i="24"/>
  <c r="BF172" i="24"/>
  <c r="BE172" i="24"/>
  <c r="BD172" i="24"/>
  <c r="BC172" i="24"/>
  <c r="BB172" i="24"/>
  <c r="BA172" i="24"/>
  <c r="BA176" i="24" s="1"/>
  <c r="AZ172" i="24"/>
  <c r="AZ176" i="24" s="1"/>
  <c r="AY172" i="24"/>
  <c r="AX172" i="24"/>
  <c r="AW172" i="24"/>
  <c r="AW176" i="24" s="1"/>
  <c r="AV172" i="24"/>
  <c r="AU172" i="24"/>
  <c r="AT172" i="24"/>
  <c r="AS172" i="24"/>
  <c r="AR172" i="24"/>
  <c r="AQ172" i="24"/>
  <c r="AP172" i="24"/>
  <c r="AO172" i="24"/>
  <c r="AO176" i="24" s="1"/>
  <c r="AN172" i="24"/>
  <c r="AN176" i="24" s="1"/>
  <c r="AM172" i="24"/>
  <c r="AL172" i="24"/>
  <c r="AK172" i="24"/>
  <c r="AK176" i="24" s="1"/>
  <c r="AJ172" i="24"/>
  <c r="AI172" i="24"/>
  <c r="AH172" i="24"/>
  <c r="AG172" i="24"/>
  <c r="AF172" i="24"/>
  <c r="AE172" i="24"/>
  <c r="AD172" i="24"/>
  <c r="AC172" i="24"/>
  <c r="AC176" i="24" s="1"/>
  <c r="AB172" i="24"/>
  <c r="AB176" i="24" s="1"/>
  <c r="AA172" i="24"/>
  <c r="AA176" i="24" s="1"/>
  <c r="Z172" i="24"/>
  <c r="Y172" i="24"/>
  <c r="Y176" i="24" s="1"/>
  <c r="X172" i="24"/>
  <c r="W172" i="24"/>
  <c r="V172" i="24"/>
  <c r="U172" i="24"/>
  <c r="T172" i="24"/>
  <c r="S172" i="24"/>
  <c r="R172" i="24"/>
  <c r="Q172" i="24"/>
  <c r="Q176" i="24" s="1"/>
  <c r="P172" i="24"/>
  <c r="P176" i="24" s="1"/>
  <c r="O172" i="24"/>
  <c r="O176" i="24" s="1"/>
  <c r="N172" i="24"/>
  <c r="M172" i="24"/>
  <c r="M176" i="24" s="1"/>
  <c r="L172" i="24"/>
  <c r="K172" i="24"/>
  <c r="J172" i="24"/>
  <c r="I172" i="24"/>
  <c r="H172" i="24"/>
  <c r="HU171" i="24"/>
  <c r="HU174" i="24" s="1"/>
  <c r="HQ171" i="24"/>
  <c r="HQ174" i="24" s="1"/>
  <c r="HP171" i="24"/>
  <c r="HP174" i="24" s="1"/>
  <c r="HL171" i="24"/>
  <c r="HL174" i="24" s="1"/>
  <c r="HK171" i="24"/>
  <c r="HK174" i="24" s="1"/>
  <c r="HJ171" i="24"/>
  <c r="HJ174" i="24" s="1"/>
  <c r="HI171" i="24"/>
  <c r="HI174" i="24" s="1"/>
  <c r="HH171" i="24"/>
  <c r="HH174" i="24" s="1"/>
  <c r="HG171" i="24"/>
  <c r="HG174" i="24" s="1"/>
  <c r="HF171" i="24"/>
  <c r="HE171" i="24"/>
  <c r="HD171" i="24"/>
  <c r="HD174" i="24" s="1"/>
  <c r="HC171" i="24"/>
  <c r="HC174" i="24" s="1"/>
  <c r="HB171" i="24"/>
  <c r="HB174" i="24" s="1"/>
  <c r="HA171" i="24"/>
  <c r="HA174" i="24" s="1"/>
  <c r="GZ171" i="24"/>
  <c r="GZ174" i="24" s="1"/>
  <c r="GY171" i="24"/>
  <c r="GY174" i="24" s="1"/>
  <c r="GX171" i="24"/>
  <c r="GX174" i="24" s="1"/>
  <c r="GW171" i="24"/>
  <c r="GW174" i="24" s="1"/>
  <c r="GV171" i="24"/>
  <c r="GV174" i="24" s="1"/>
  <c r="GU171" i="24"/>
  <c r="GU174" i="24" s="1"/>
  <c r="GT171" i="24"/>
  <c r="GS171" i="24"/>
  <c r="GR171" i="24"/>
  <c r="GR174" i="24" s="1"/>
  <c r="GQ171" i="24"/>
  <c r="GQ174" i="24" s="1"/>
  <c r="GP171" i="24"/>
  <c r="GP174" i="24" s="1"/>
  <c r="GO171" i="24"/>
  <c r="GO174" i="24" s="1"/>
  <c r="GN171" i="24"/>
  <c r="GN174" i="24" s="1"/>
  <c r="GM171" i="24"/>
  <c r="GM174" i="24" s="1"/>
  <c r="GL171" i="24"/>
  <c r="GL174" i="24" s="1"/>
  <c r="GK171" i="24"/>
  <c r="GK174" i="24" s="1"/>
  <c r="GJ171" i="24"/>
  <c r="GJ174" i="24" s="1"/>
  <c r="GI171" i="24"/>
  <c r="GI174" i="24" s="1"/>
  <c r="GH171" i="24"/>
  <c r="GG171" i="24"/>
  <c r="GF171" i="24"/>
  <c r="GF174" i="24" s="1"/>
  <c r="GE171" i="24"/>
  <c r="GE174" i="24" s="1"/>
  <c r="GD171" i="24"/>
  <c r="GD174" i="24" s="1"/>
  <c r="GC171" i="24"/>
  <c r="GC174" i="24" s="1"/>
  <c r="GB171" i="24"/>
  <c r="GB174" i="24" s="1"/>
  <c r="GA171" i="24"/>
  <c r="GA174" i="24" s="1"/>
  <c r="FZ171" i="24"/>
  <c r="FZ174" i="24" s="1"/>
  <c r="FX171" i="24"/>
  <c r="FX174" i="24" s="1"/>
  <c r="FW171" i="24"/>
  <c r="FW174" i="24" s="1"/>
  <c r="FV171" i="24"/>
  <c r="FT171" i="24"/>
  <c r="FT174" i="24" s="1"/>
  <c r="FR171" i="24"/>
  <c r="FR174" i="24" s="1"/>
  <c r="FQ171" i="24"/>
  <c r="FQ174" i="24" s="1"/>
  <c r="FP171" i="24"/>
  <c r="FP174" i="24" s="1"/>
  <c r="FO171" i="24"/>
  <c r="FN171" i="24"/>
  <c r="FM171" i="24"/>
  <c r="FL171" i="24"/>
  <c r="FL174" i="24" s="1"/>
  <c r="FK171" i="24"/>
  <c r="FK174" i="24" s="1"/>
  <c r="FJ171" i="24"/>
  <c r="FI171" i="24"/>
  <c r="FH171" i="24"/>
  <c r="FG171" i="24"/>
  <c r="FF171" i="24"/>
  <c r="FF174" i="24" s="1"/>
  <c r="FE171" i="24"/>
  <c r="FE174" i="24" s="1"/>
  <c r="FD171" i="24"/>
  <c r="FD174" i="24" s="1"/>
  <c r="FC171" i="24"/>
  <c r="FB171" i="24"/>
  <c r="FA171" i="24"/>
  <c r="EZ171" i="24"/>
  <c r="EZ174" i="24" s="1"/>
  <c r="EY171" i="24"/>
  <c r="EY174" i="24" s="1"/>
  <c r="EX171" i="24"/>
  <c r="EW171" i="24"/>
  <c r="EV171" i="24"/>
  <c r="EV174" i="24" s="1"/>
  <c r="EU171" i="24"/>
  <c r="ET171" i="24"/>
  <c r="ET174" i="24" s="1"/>
  <c r="ES171" i="24"/>
  <c r="ES174" i="24" s="1"/>
  <c r="ER171" i="24"/>
  <c r="ER174" i="24" s="1"/>
  <c r="EQ171" i="24"/>
  <c r="EP171" i="24"/>
  <c r="EO171" i="24"/>
  <c r="EN171" i="24"/>
  <c r="EN174" i="24" s="1"/>
  <c r="EM171" i="24"/>
  <c r="EM174" i="24" s="1"/>
  <c r="EL171" i="24"/>
  <c r="EK171" i="24"/>
  <c r="EJ171" i="24"/>
  <c r="EJ174" i="24" s="1"/>
  <c r="EI171" i="24"/>
  <c r="EH171" i="24"/>
  <c r="EH174" i="24" s="1"/>
  <c r="EG171" i="24"/>
  <c r="EG174" i="24" s="1"/>
  <c r="EF171" i="24"/>
  <c r="EF174" i="24" s="1"/>
  <c r="EE171" i="24"/>
  <c r="ED171" i="24"/>
  <c r="EC171" i="24"/>
  <c r="EB171" i="24"/>
  <c r="EB174" i="24" s="1"/>
  <c r="EA171" i="24"/>
  <c r="EA174" i="24" s="1"/>
  <c r="DZ171" i="24"/>
  <c r="DY171" i="24"/>
  <c r="DX171" i="24"/>
  <c r="DX174" i="24" s="1"/>
  <c r="DW171" i="24"/>
  <c r="DV171" i="24"/>
  <c r="DV174" i="24" s="1"/>
  <c r="DU171" i="24"/>
  <c r="DU174" i="24" s="1"/>
  <c r="DT171" i="24"/>
  <c r="DT174" i="24" s="1"/>
  <c r="DS171" i="24"/>
  <c r="DR171" i="24"/>
  <c r="DQ171" i="24"/>
  <c r="DP171" i="24"/>
  <c r="DP174" i="24" s="1"/>
  <c r="DO171" i="24"/>
  <c r="DO174" i="24" s="1"/>
  <c r="DN171" i="24"/>
  <c r="DM171" i="24"/>
  <c r="DL171" i="24"/>
  <c r="DL174" i="24" s="1"/>
  <c r="DK171" i="24"/>
  <c r="DJ171" i="24"/>
  <c r="DJ174" i="24" s="1"/>
  <c r="DI171" i="24"/>
  <c r="DI174" i="24" s="1"/>
  <c r="DH171" i="24"/>
  <c r="DH174" i="24" s="1"/>
  <c r="DG171" i="24"/>
  <c r="DF171" i="24"/>
  <c r="DE171" i="24"/>
  <c r="DD171" i="24"/>
  <c r="DD174" i="24" s="1"/>
  <c r="DC171" i="24"/>
  <c r="DC174" i="24" s="1"/>
  <c r="DB171" i="24"/>
  <c r="DA171" i="24"/>
  <c r="CZ171" i="24"/>
  <c r="CZ174" i="24" s="1"/>
  <c r="CY171" i="24"/>
  <c r="CX171" i="24"/>
  <c r="CX174" i="24" s="1"/>
  <c r="CW171" i="24"/>
  <c r="CW174" i="24" s="1"/>
  <c r="CV171" i="24"/>
  <c r="CV174" i="24" s="1"/>
  <c r="CU171" i="24"/>
  <c r="CT171" i="24"/>
  <c r="CS171" i="24"/>
  <c r="CR171" i="24"/>
  <c r="CR174" i="24" s="1"/>
  <c r="CQ171" i="24"/>
  <c r="CQ174" i="24" s="1"/>
  <c r="CP171" i="24"/>
  <c r="CO171" i="24"/>
  <c r="CN171" i="24"/>
  <c r="CN174" i="24" s="1"/>
  <c r="CM171" i="24"/>
  <c r="CL171" i="24"/>
  <c r="CL174" i="24" s="1"/>
  <c r="CK171" i="24"/>
  <c r="CK174" i="24" s="1"/>
  <c r="CJ171" i="24"/>
  <c r="CJ174" i="24" s="1"/>
  <c r="CI171" i="24"/>
  <c r="CH171" i="24"/>
  <c r="CG171" i="24"/>
  <c r="CF171" i="24"/>
  <c r="CF174" i="24" s="1"/>
  <c r="CE171" i="24"/>
  <c r="CE174" i="24" s="1"/>
  <c r="CD171" i="24"/>
  <c r="CC171" i="24"/>
  <c r="CB171" i="24"/>
  <c r="CB174" i="24" s="1"/>
  <c r="CA171" i="24"/>
  <c r="BZ171" i="24"/>
  <c r="BZ174" i="24" s="1"/>
  <c r="BY171" i="24"/>
  <c r="BY174" i="24" s="1"/>
  <c r="BX171" i="24"/>
  <c r="BX174" i="24" s="1"/>
  <c r="BW171" i="24"/>
  <c r="BV171" i="24"/>
  <c r="BU171" i="24"/>
  <c r="BT171" i="24"/>
  <c r="BT174" i="24" s="1"/>
  <c r="BS171" i="24"/>
  <c r="BS174" i="24" s="1"/>
  <c r="BR171" i="24"/>
  <c r="BQ171" i="24"/>
  <c r="BP171" i="24"/>
  <c r="BP174" i="24" s="1"/>
  <c r="BO171" i="24"/>
  <c r="BN171" i="24"/>
  <c r="BN174" i="24" s="1"/>
  <c r="BM171" i="24"/>
  <c r="BM174" i="24" s="1"/>
  <c r="BL171" i="24"/>
  <c r="BL174" i="24" s="1"/>
  <c r="BK171" i="24"/>
  <c r="BK176" i="24" s="1"/>
  <c r="BJ171" i="24"/>
  <c r="BI171" i="24"/>
  <c r="BH171" i="24"/>
  <c r="BH174" i="24" s="1"/>
  <c r="BG171" i="24"/>
  <c r="BG174" i="24" s="1"/>
  <c r="BF171" i="24"/>
  <c r="BE171" i="24"/>
  <c r="BE174" i="24" s="1"/>
  <c r="BD171" i="24"/>
  <c r="BD174" i="24" s="1"/>
  <c r="BC171" i="24"/>
  <c r="BB171" i="24"/>
  <c r="BB174" i="24" s="1"/>
  <c r="BA171" i="24"/>
  <c r="BA174" i="24" s="1"/>
  <c r="AZ171" i="24"/>
  <c r="AZ174" i="24" s="1"/>
  <c r="AY171" i="24"/>
  <c r="AX171" i="24"/>
  <c r="AW171" i="24"/>
  <c r="AV171" i="24"/>
  <c r="AV174" i="24" s="1"/>
  <c r="AU171" i="24"/>
  <c r="AU174" i="24" s="1"/>
  <c r="AT171" i="24"/>
  <c r="AS171" i="24"/>
  <c r="AS174" i="24" s="1"/>
  <c r="AR171" i="24"/>
  <c r="AR174" i="24" s="1"/>
  <c r="AQ171" i="24"/>
  <c r="AP171" i="24"/>
  <c r="AP174" i="24" s="1"/>
  <c r="AO171" i="24"/>
  <c r="AO174" i="24" s="1"/>
  <c r="AN171" i="24"/>
  <c r="AN174" i="24" s="1"/>
  <c r="AM171" i="24"/>
  <c r="AL171" i="24"/>
  <c r="AK171" i="24"/>
  <c r="AJ171" i="24"/>
  <c r="AJ174" i="24" s="1"/>
  <c r="AI171" i="24"/>
  <c r="AI174" i="24" s="1"/>
  <c r="AH171" i="24"/>
  <c r="AG171" i="24"/>
  <c r="AG174" i="24" s="1"/>
  <c r="AF171" i="24"/>
  <c r="AF174" i="24" s="1"/>
  <c r="AE171" i="24"/>
  <c r="AD171" i="24"/>
  <c r="AD174" i="24" s="1"/>
  <c r="AC171" i="24"/>
  <c r="AC174" i="24" s="1"/>
  <c r="AB171" i="24"/>
  <c r="AB174" i="24" s="1"/>
  <c r="AA171" i="24"/>
  <c r="Z171" i="24"/>
  <c r="Y171" i="24"/>
  <c r="X171" i="24"/>
  <c r="X174" i="24" s="1"/>
  <c r="W171" i="24"/>
  <c r="W174" i="24" s="1"/>
  <c r="V171" i="24"/>
  <c r="U171" i="24"/>
  <c r="U174" i="24" s="1"/>
  <c r="T171" i="24"/>
  <c r="T174" i="24" s="1"/>
  <c r="S171" i="24"/>
  <c r="R171" i="24"/>
  <c r="R174" i="24" s="1"/>
  <c r="Q171" i="24"/>
  <c r="Q174" i="24" s="1"/>
  <c r="P171" i="24"/>
  <c r="P174" i="24" s="1"/>
  <c r="O171" i="24"/>
  <c r="N171" i="24"/>
  <c r="M171" i="24"/>
  <c r="L171" i="24"/>
  <c r="L174" i="24" s="1"/>
  <c r="K171" i="24"/>
  <c r="K174" i="24" s="1"/>
  <c r="J171" i="24"/>
  <c r="I171" i="24"/>
  <c r="I174" i="24" s="1"/>
  <c r="H171" i="24"/>
  <c r="H174" i="24" s="1"/>
  <c r="HU169" i="24"/>
  <c r="HQ169" i="24"/>
  <c r="HL169" i="24"/>
  <c r="HK169" i="24"/>
  <c r="HJ169" i="24"/>
  <c r="HI169" i="24"/>
  <c r="HH169" i="24"/>
  <c r="HG169" i="24"/>
  <c r="HF169" i="24"/>
  <c r="HE169" i="24"/>
  <c r="HD169" i="24"/>
  <c r="HC169" i="24"/>
  <c r="HB169" i="24"/>
  <c r="HA169" i="24"/>
  <c r="GZ169" i="24"/>
  <c r="GY169" i="24"/>
  <c r="GX169" i="24"/>
  <c r="GW169" i="24"/>
  <c r="GV169" i="24"/>
  <c r="GU169" i="24"/>
  <c r="GT169" i="24"/>
  <c r="GS169" i="24"/>
  <c r="GR169" i="24"/>
  <c r="GQ169" i="24"/>
  <c r="GP169" i="24"/>
  <c r="GO169" i="24"/>
  <c r="GN169" i="24"/>
  <c r="GM169" i="24"/>
  <c r="GL169" i="24"/>
  <c r="GK169" i="24"/>
  <c r="GJ169" i="24"/>
  <c r="GI169" i="24"/>
  <c r="GH169" i="24"/>
  <c r="GG169" i="24"/>
  <c r="GF169" i="24"/>
  <c r="GE169" i="24"/>
  <c r="GD169" i="24"/>
  <c r="GC169" i="24"/>
  <c r="GB169" i="24"/>
  <c r="GA169" i="24"/>
  <c r="FZ169" i="24"/>
  <c r="FX169" i="24"/>
  <c r="FW169" i="24"/>
  <c r="FV169" i="24"/>
  <c r="FT169" i="24"/>
  <c r="FR169" i="24"/>
  <c r="FQ169" i="24"/>
  <c r="FP169" i="24"/>
  <c r="FO169" i="24"/>
  <c r="FN169" i="24"/>
  <c r="FM169" i="24"/>
  <c r="FL169" i="24"/>
  <c r="FK169" i="24"/>
  <c r="FJ169" i="24"/>
  <c r="FI169" i="24"/>
  <c r="FH169" i="24"/>
  <c r="FG169" i="24"/>
  <c r="FF169" i="24"/>
  <c r="FE169" i="24"/>
  <c r="FD169" i="24"/>
  <c r="FC169" i="24"/>
  <c r="FB169" i="24"/>
  <c r="FA169" i="24"/>
  <c r="EZ169" i="24"/>
  <c r="EY169" i="24"/>
  <c r="EX169" i="24"/>
  <c r="EW169" i="24"/>
  <c r="EV169" i="24"/>
  <c r="EU169" i="24"/>
  <c r="ET169" i="24"/>
  <c r="ES169" i="24"/>
  <c r="ER169" i="24"/>
  <c r="EQ169" i="24"/>
  <c r="EP169" i="24"/>
  <c r="EO169" i="24"/>
  <c r="EN169" i="24"/>
  <c r="EM169" i="24"/>
  <c r="EL169" i="24"/>
  <c r="EK169" i="24"/>
  <c r="EJ169" i="24"/>
  <c r="EI169" i="24"/>
  <c r="EH169" i="24"/>
  <c r="EG169" i="24"/>
  <c r="EF169" i="24"/>
  <c r="EE169" i="24"/>
  <c r="ED169" i="24"/>
  <c r="EC169" i="24"/>
  <c r="EB169" i="24"/>
  <c r="EA169" i="24"/>
  <c r="DZ169" i="24"/>
  <c r="DY169" i="24"/>
  <c r="DX169" i="24"/>
  <c r="DW169" i="24"/>
  <c r="DV169" i="24"/>
  <c r="DU169" i="24"/>
  <c r="DT169" i="24"/>
  <c r="DS169" i="24"/>
  <c r="DR169" i="24"/>
  <c r="DQ169" i="24"/>
  <c r="DP169" i="24"/>
  <c r="DO169" i="24"/>
  <c r="DN169" i="24"/>
  <c r="DM169" i="24"/>
  <c r="DL169" i="24"/>
  <c r="DK169" i="24"/>
  <c r="DJ169" i="24"/>
  <c r="DI169" i="24"/>
  <c r="DH169" i="24"/>
  <c r="DG169" i="24"/>
  <c r="DF169" i="24"/>
  <c r="DE169" i="24"/>
  <c r="DD169" i="24"/>
  <c r="DC169" i="24"/>
  <c r="DB169" i="24"/>
  <c r="DA169" i="24"/>
  <c r="CZ169" i="24"/>
  <c r="CY169" i="24"/>
  <c r="CX169" i="24"/>
  <c r="CW169" i="24"/>
  <c r="CV169" i="24"/>
  <c r="CU169" i="24"/>
  <c r="CT169" i="24"/>
  <c r="CS169" i="24"/>
  <c r="CR169" i="24"/>
  <c r="CQ169" i="24"/>
  <c r="CP169" i="24"/>
  <c r="CO169" i="24"/>
  <c r="CN169" i="24"/>
  <c r="CM169" i="24"/>
  <c r="CL169" i="24"/>
  <c r="CK169" i="24"/>
  <c r="CJ169" i="24"/>
  <c r="CI169" i="24"/>
  <c r="CH169" i="24"/>
  <c r="CG169" i="24"/>
  <c r="CF169" i="24"/>
  <c r="CE169" i="24"/>
  <c r="CD169" i="24"/>
  <c r="CC169" i="24"/>
  <c r="CB169" i="24"/>
  <c r="CA169" i="24"/>
  <c r="BZ169" i="24"/>
  <c r="BY169" i="24"/>
  <c r="BX169" i="24"/>
  <c r="BW169" i="24"/>
  <c r="BV169" i="24"/>
  <c r="BU169" i="24"/>
  <c r="BT169" i="24"/>
  <c r="BS169" i="24"/>
  <c r="BR169" i="24"/>
  <c r="BQ169" i="24"/>
  <c r="BP169" i="24"/>
  <c r="BO169" i="24"/>
  <c r="BN169" i="24"/>
  <c r="BM169" i="24"/>
  <c r="BL169" i="24"/>
  <c r="BK169" i="24"/>
  <c r="BJ169" i="24"/>
  <c r="BI169" i="24"/>
  <c r="BH169" i="24"/>
  <c r="BG169" i="24"/>
  <c r="BF169" i="24"/>
  <c r="BE169" i="24"/>
  <c r="BD169" i="24"/>
  <c r="BC169" i="24"/>
  <c r="BB169" i="24"/>
  <c r="BA169" i="24"/>
  <c r="AZ169" i="24"/>
  <c r="AY169" i="24"/>
  <c r="AX169" i="24"/>
  <c r="AW169" i="24"/>
  <c r="AV169" i="24"/>
  <c r="AU169" i="24"/>
  <c r="AT169" i="24"/>
  <c r="AS169" i="24"/>
  <c r="AR169" i="24"/>
  <c r="AQ169" i="24"/>
  <c r="AP169" i="24"/>
  <c r="AO169" i="24"/>
  <c r="AN169" i="24"/>
  <c r="AM169" i="24"/>
  <c r="AL169" i="24"/>
  <c r="AK169" i="24"/>
  <c r="AJ169" i="24"/>
  <c r="AI169" i="24"/>
  <c r="AH169" i="24"/>
  <c r="AG169" i="24"/>
  <c r="AF169" i="24"/>
  <c r="AE169" i="24"/>
  <c r="AD169" i="24"/>
  <c r="AC169" i="24"/>
  <c r="AB169" i="24"/>
  <c r="AA169" i="24"/>
  <c r="Z169" i="24"/>
  <c r="Y169" i="24"/>
  <c r="X169" i="24"/>
  <c r="W169" i="24"/>
  <c r="V169" i="24"/>
  <c r="U169" i="24"/>
  <c r="T169" i="24"/>
  <c r="S169" i="24"/>
  <c r="R169" i="24"/>
  <c r="Q169" i="24"/>
  <c r="P169" i="24"/>
  <c r="O169" i="24"/>
  <c r="N169" i="24"/>
  <c r="M169" i="24"/>
  <c r="L169" i="24"/>
  <c r="K169" i="24"/>
  <c r="J169" i="24"/>
  <c r="I169" i="24"/>
  <c r="H169" i="24"/>
  <c r="HT168" i="24"/>
  <c r="HP169" i="24"/>
  <c r="HO167" i="24"/>
  <c r="HT166" i="24"/>
  <c r="HT165" i="24"/>
  <c r="HT164" i="24"/>
  <c r="HT163" i="24"/>
  <c r="HT162" i="24"/>
  <c r="HT161" i="24"/>
  <c r="HT160" i="24"/>
  <c r="HT159" i="24"/>
  <c r="HT158" i="24"/>
  <c r="HT157" i="24"/>
  <c r="HT156" i="24"/>
  <c r="HT155" i="24"/>
  <c r="HT154" i="24"/>
  <c r="HT153" i="24"/>
  <c r="HT152" i="24"/>
  <c r="HT151" i="24"/>
  <c r="HT150" i="24"/>
  <c r="HT149" i="24"/>
  <c r="HT148" i="24"/>
  <c r="HT147" i="24"/>
  <c r="HT146" i="24"/>
  <c r="HT145" i="24"/>
  <c r="HT144" i="24"/>
  <c r="HT143" i="24"/>
  <c r="HT142" i="24"/>
  <c r="HT141" i="24"/>
  <c r="HT140" i="24"/>
  <c r="HT139" i="24"/>
  <c r="HT138" i="24"/>
  <c r="HT137" i="24"/>
  <c r="HT136" i="24"/>
  <c r="HT135" i="24"/>
  <c r="HT134" i="24"/>
  <c r="HT133" i="24"/>
  <c r="HT132" i="24"/>
  <c r="HT131" i="24"/>
  <c r="HT130" i="24"/>
  <c r="HT129" i="24"/>
  <c r="HT128" i="24"/>
  <c r="HT127" i="24"/>
  <c r="HT126" i="24"/>
  <c r="HT125" i="24"/>
  <c r="HT124" i="24"/>
  <c r="HT123" i="24"/>
  <c r="HT122" i="24"/>
  <c r="HT121" i="24"/>
  <c r="HT120" i="24"/>
  <c r="HT119" i="24"/>
  <c r="HT118" i="24"/>
  <c r="HT117" i="24"/>
  <c r="HT116" i="24"/>
  <c r="HT115" i="24"/>
  <c r="HT114" i="24"/>
  <c r="HT113" i="24"/>
  <c r="HT112" i="24"/>
  <c r="HT111" i="24"/>
  <c r="HT109" i="24"/>
  <c r="HT108" i="24"/>
  <c r="HT107" i="24"/>
  <c r="HT106" i="24"/>
  <c r="HT105" i="24"/>
  <c r="HT104" i="24"/>
  <c r="HT103" i="24"/>
  <c r="HT102" i="24"/>
  <c r="HT101" i="24"/>
  <c r="HT100" i="24"/>
  <c r="HT99" i="24"/>
  <c r="HT98" i="24"/>
  <c r="HT97" i="24"/>
  <c r="HT96" i="24"/>
  <c r="HT95" i="24"/>
  <c r="HT94" i="24"/>
  <c r="HT93" i="24"/>
  <c r="HT92" i="24"/>
  <c r="HT91" i="24"/>
  <c r="HT89" i="24"/>
  <c r="HT88" i="24"/>
  <c r="HT87" i="24"/>
  <c r="HT86" i="24"/>
  <c r="HT85" i="24"/>
  <c r="HT84" i="24"/>
  <c r="HT83" i="24"/>
  <c r="HT82" i="24"/>
  <c r="HT81" i="24"/>
  <c r="HT80" i="24"/>
  <c r="HT79" i="24"/>
  <c r="HT78" i="24"/>
  <c r="HT77" i="24"/>
  <c r="HT76" i="24"/>
  <c r="HT75" i="24"/>
  <c r="HT74" i="24"/>
  <c r="HT73" i="24"/>
  <c r="HT72" i="24"/>
  <c r="HT71" i="24"/>
  <c r="HT70" i="24"/>
  <c r="HT69" i="24"/>
  <c r="HT68" i="24"/>
  <c r="HT67" i="24"/>
  <c r="HT66" i="24"/>
  <c r="HT65" i="24"/>
  <c r="HT64" i="24"/>
  <c r="HT63" i="24"/>
  <c r="HT62" i="24"/>
  <c r="HT61" i="24"/>
  <c r="HT60" i="24"/>
  <c r="HT59" i="24"/>
  <c r="HT58" i="24"/>
  <c r="HT57" i="24"/>
  <c r="HT56" i="24"/>
  <c r="HT55" i="24"/>
  <c r="HT54" i="24"/>
  <c r="HT53" i="24"/>
  <c r="HT52" i="24"/>
  <c r="HT51" i="24"/>
  <c r="HT50" i="24"/>
  <c r="HT49" i="24"/>
  <c r="FU49" i="24"/>
  <c r="FS49" i="24"/>
  <c r="FS169" i="24" s="1"/>
  <c r="HT48" i="24"/>
  <c r="HT173" i="24" s="1"/>
  <c r="HT47" i="24"/>
  <c r="HT46" i="24"/>
  <c r="HT45" i="24"/>
  <c r="HT44" i="24"/>
  <c r="HT43" i="24"/>
  <c r="HT42" i="24"/>
  <c r="HT41" i="24"/>
  <c r="HT40" i="24"/>
  <c r="HT39" i="24"/>
  <c r="HT38" i="24"/>
  <c r="HT37" i="24"/>
  <c r="HT36" i="24"/>
  <c r="HT35" i="24"/>
  <c r="HT34" i="24"/>
  <c r="HT33" i="24"/>
  <c r="HT32" i="24"/>
  <c r="HT31" i="24"/>
  <c r="HT30" i="24"/>
  <c r="HT29" i="24"/>
  <c r="HT28" i="24"/>
  <c r="HT27" i="24"/>
  <c r="HT26" i="24"/>
  <c r="HT25" i="24"/>
  <c r="HT24" i="24"/>
  <c r="HT23" i="24"/>
  <c r="HT22" i="24"/>
  <c r="HT21" i="24"/>
  <c r="HT20" i="24"/>
  <c r="HT19" i="24"/>
  <c r="HT18" i="24"/>
  <c r="HT17" i="24"/>
  <c r="HT16" i="24"/>
  <c r="HT15" i="24"/>
  <c r="HT14" i="24"/>
  <c r="HT13" i="24"/>
  <c r="HT12" i="24"/>
  <c r="HT11" i="24"/>
  <c r="HT10" i="24"/>
  <c r="HT9" i="24"/>
  <c r="HT8" i="24"/>
  <c r="HT7" i="24"/>
  <c r="HT6" i="24"/>
  <c r="HT5" i="24"/>
  <c r="HT4" i="24"/>
  <c r="HT3" i="24"/>
  <c r="HT2" i="24"/>
  <c r="EW176" i="24" l="1"/>
  <c r="FE176" i="24"/>
  <c r="FQ176" i="24"/>
  <c r="GC176" i="24"/>
  <c r="GO176" i="24"/>
  <c r="HA176" i="24"/>
  <c r="J176" i="24"/>
  <c r="V176" i="24"/>
  <c r="AH176" i="24"/>
  <c r="AT176" i="24"/>
  <c r="BF176" i="24"/>
  <c r="BR176" i="24"/>
  <c r="CD176" i="24"/>
  <c r="CP176" i="24"/>
  <c r="DB176" i="24"/>
  <c r="DN176" i="24"/>
  <c r="DZ176" i="24"/>
  <c r="EL176" i="24"/>
  <c r="EX176" i="24"/>
  <c r="FJ176" i="24"/>
  <c r="FV176" i="24"/>
  <c r="GH176" i="24"/>
  <c r="GT176" i="24"/>
  <c r="HF176" i="24"/>
  <c r="K176" i="24"/>
  <c r="W176" i="24"/>
  <c r="AI176" i="24"/>
  <c r="AU176" i="24"/>
  <c r="BG176" i="24"/>
  <c r="BS176" i="24"/>
  <c r="CE176" i="24"/>
  <c r="CQ176" i="24"/>
  <c r="DC176" i="24"/>
  <c r="DO176" i="24"/>
  <c r="EA176" i="24"/>
  <c r="EM176" i="24"/>
  <c r="EY176" i="24"/>
  <c r="FK176" i="24"/>
  <c r="HU176" i="24"/>
  <c r="BQ174" i="24"/>
  <c r="CC174" i="24"/>
  <c r="CO174" i="24"/>
  <c r="DA174" i="24"/>
  <c r="DM174" i="24"/>
  <c r="DY174" i="24"/>
  <c r="EK174" i="24"/>
  <c r="EW174" i="24"/>
  <c r="L176" i="24"/>
  <c r="X176" i="24"/>
  <c r="AJ176" i="24"/>
  <c r="AV176" i="24"/>
  <c r="BH176" i="24"/>
  <c r="BT176" i="24"/>
  <c r="CF176" i="24"/>
  <c r="CR176" i="24"/>
  <c r="DD176" i="24"/>
  <c r="DP176" i="24"/>
  <c r="EB176" i="24"/>
  <c r="EN176" i="24"/>
  <c r="EZ176" i="24"/>
  <c r="FL176" i="24"/>
  <c r="HI176" i="24"/>
  <c r="N176" i="24"/>
  <c r="Z176" i="24"/>
  <c r="AL176" i="24"/>
  <c r="AX176" i="24"/>
  <c r="BJ176" i="24"/>
  <c r="BV176" i="24"/>
  <c r="CH176" i="24"/>
  <c r="CT176" i="24"/>
  <c r="DF176" i="24"/>
  <c r="DR176" i="24"/>
  <c r="ED176" i="24"/>
  <c r="EP176" i="24"/>
  <c r="FN176" i="24"/>
  <c r="FZ176" i="24"/>
  <c r="GL176" i="24"/>
  <c r="GX176" i="24"/>
  <c r="HJ176" i="24"/>
  <c r="GK176" i="24"/>
  <c r="AM176" i="24"/>
  <c r="AY176" i="24"/>
  <c r="CI176" i="24"/>
  <c r="CU176" i="24"/>
  <c r="EE176" i="24"/>
  <c r="EQ176" i="24"/>
  <c r="GM176" i="24"/>
  <c r="GY176" i="24"/>
  <c r="HK176" i="24"/>
  <c r="Y174" i="24"/>
  <c r="AW174" i="24"/>
  <c r="BI174" i="24"/>
  <c r="BU174" i="24"/>
  <c r="CG174" i="24"/>
  <c r="CS174" i="24"/>
  <c r="DE174" i="24"/>
  <c r="DQ174" i="24"/>
  <c r="EC174" i="24"/>
  <c r="EO174" i="24"/>
  <c r="FA174" i="24"/>
  <c r="FM174" i="24"/>
  <c r="GW176" i="24"/>
  <c r="M174" i="24"/>
  <c r="R176" i="24"/>
  <c r="AD176" i="24"/>
  <c r="AP176" i="24"/>
  <c r="BB176" i="24"/>
  <c r="BN176" i="24"/>
  <c r="BZ176" i="24"/>
  <c r="CL176" i="24"/>
  <c r="CX176" i="24"/>
  <c r="DJ176" i="24"/>
  <c r="DV176" i="24"/>
  <c r="EH176" i="24"/>
  <c r="ET176" i="24"/>
  <c r="FF176" i="24"/>
  <c r="FR176" i="24"/>
  <c r="GD176" i="24"/>
  <c r="GP176" i="24"/>
  <c r="HB176" i="24"/>
  <c r="AK174" i="24"/>
  <c r="S176" i="24"/>
  <c r="AE176" i="24"/>
  <c r="AQ176" i="24"/>
  <c r="BC176" i="24"/>
  <c r="BO176" i="24"/>
  <c r="CA176" i="24"/>
  <c r="CM176" i="24"/>
  <c r="CY176" i="24"/>
  <c r="DK176" i="24"/>
  <c r="DW176" i="24"/>
  <c r="EI176" i="24"/>
  <c r="EU176" i="24"/>
  <c r="FG176" i="24"/>
  <c r="HT171" i="24"/>
  <c r="N174" i="24"/>
  <c r="BV174" i="24"/>
  <c r="ED174" i="24"/>
  <c r="FW176" i="24"/>
  <c r="GI176" i="24"/>
  <c r="GU176" i="24"/>
  <c r="HG176" i="24"/>
  <c r="FX176" i="24"/>
  <c r="GJ176" i="24"/>
  <c r="GV176" i="24"/>
  <c r="HH176" i="24"/>
  <c r="Z174" i="24"/>
  <c r="AL174" i="24"/>
  <c r="BJ174" i="24"/>
  <c r="CH174" i="24"/>
  <c r="CT174" i="24"/>
  <c r="DF174" i="24"/>
  <c r="DR174" i="24"/>
  <c r="EP174" i="24"/>
  <c r="FB174" i="24"/>
  <c r="FN174" i="24"/>
  <c r="HN171" i="24"/>
  <c r="HT167" i="24"/>
  <c r="AA174" i="24"/>
  <c r="AM174" i="24"/>
  <c r="BK174" i="24"/>
  <c r="CI174" i="24"/>
  <c r="DG174" i="24"/>
  <c r="EE174" i="24"/>
  <c r="HN169" i="24"/>
  <c r="DQ187" i="24"/>
  <c r="GE176" i="24"/>
  <c r="GQ176" i="24"/>
  <c r="HC176" i="24"/>
  <c r="HP176" i="24"/>
  <c r="DN187" i="24"/>
  <c r="DR187" i="24" s="1"/>
  <c r="DS187" i="24" s="1"/>
  <c r="DY187" i="24" s="1"/>
  <c r="FT187" i="24"/>
  <c r="FU187" i="24" s="1"/>
  <c r="FY187" i="24" s="1"/>
  <c r="AX174" i="24"/>
  <c r="O174" i="24"/>
  <c r="AY174" i="24"/>
  <c r="BW174" i="24"/>
  <c r="CU174" i="24"/>
  <c r="DS174" i="24"/>
  <c r="EQ174" i="24"/>
  <c r="FC174" i="24"/>
  <c r="FO174" i="24"/>
  <c r="AE174" i="24"/>
  <c r="BO174" i="24"/>
  <c r="CM174" i="24"/>
  <c r="CY174" i="24"/>
  <c r="DK174" i="24"/>
  <c r="DW174" i="24"/>
  <c r="EI174" i="24"/>
  <c r="EU174" i="24"/>
  <c r="FG174" i="24"/>
  <c r="FS171" i="24"/>
  <c r="FS174" i="24" s="1"/>
  <c r="H176" i="24"/>
  <c r="T176" i="24"/>
  <c r="AF176" i="24"/>
  <c r="AR176" i="24"/>
  <c r="BD176" i="24"/>
  <c r="BP176" i="24"/>
  <c r="CB176" i="24"/>
  <c r="CN176" i="24"/>
  <c r="CZ176" i="24"/>
  <c r="DL176" i="24"/>
  <c r="DX176" i="24"/>
  <c r="EJ176" i="24"/>
  <c r="EV176" i="24"/>
  <c r="FH176" i="24"/>
  <c r="FT176" i="24"/>
  <c r="GF176" i="24"/>
  <c r="GR176" i="24"/>
  <c r="HD176" i="24"/>
  <c r="HQ176" i="24"/>
  <c r="HO171" i="24"/>
  <c r="HO174" i="24" s="1"/>
  <c r="HO169" i="24"/>
  <c r="HT169" i="24"/>
  <c r="HT172" i="24"/>
  <c r="HT176" i="24" s="1"/>
  <c r="FY49" i="24"/>
  <c r="FU171" i="24"/>
  <c r="FU174" i="24" s="1"/>
  <c r="FU169" i="24"/>
  <c r="HR171" i="24"/>
  <c r="HR174" i="24" s="1"/>
  <c r="HR169" i="24"/>
  <c r="S174" i="24"/>
  <c r="AQ174" i="24"/>
  <c r="BC174" i="24"/>
  <c r="CA174" i="24"/>
  <c r="HS167" i="24"/>
  <c r="I176" i="24"/>
  <c r="U176" i="24"/>
  <c r="AG176" i="24"/>
  <c r="AS176" i="24"/>
  <c r="BE176" i="24"/>
  <c r="BQ176" i="24"/>
  <c r="CC176" i="24"/>
  <c r="CO176" i="24"/>
  <c r="DA176" i="24"/>
  <c r="DM176" i="24"/>
  <c r="DY176" i="24"/>
  <c r="EK176" i="24"/>
  <c r="FI176" i="24"/>
  <c r="FU176" i="24"/>
  <c r="GG176" i="24"/>
  <c r="GS176" i="24"/>
  <c r="HE176" i="24"/>
  <c r="J174" i="24"/>
  <c r="V174" i="24"/>
  <c r="AH174" i="24"/>
  <c r="AT174" i="24"/>
  <c r="BF174" i="24"/>
  <c r="BR174" i="24"/>
  <c r="CD174" i="24"/>
  <c r="CP174" i="24"/>
  <c r="DB174" i="24"/>
  <c r="DN174" i="24"/>
  <c r="DZ174" i="24"/>
  <c r="EL174" i="24"/>
  <c r="EX174" i="24"/>
  <c r="FJ174" i="24"/>
  <c r="FV174" i="24"/>
  <c r="GH174" i="24"/>
  <c r="GT174" i="24"/>
  <c r="HF174" i="24"/>
  <c r="FP187" i="24"/>
  <c r="FS176" i="24" l="1"/>
  <c r="HS171" i="24"/>
  <c r="HS169" i="24"/>
  <c r="HO176" i="24"/>
  <c r="HR176" i="24"/>
  <c r="FY171" i="24"/>
  <c r="FY169" i="24"/>
  <c r="HN174" i="24"/>
  <c r="HN176" i="24"/>
  <c r="HT174" i="24"/>
  <c r="FY174" i="24" l="1"/>
  <c r="FY176" i="24"/>
  <c r="HS174" i="24"/>
  <c r="HS176" i="24"/>
  <c r="M45" i="22" l="1"/>
  <c r="N45" i="22" s="1"/>
  <c r="M44" i="22"/>
  <c r="N44" i="22" s="1"/>
  <c r="M43" i="22"/>
  <c r="N43" i="22" s="1"/>
  <c r="M42" i="22"/>
  <c r="N42" i="22" s="1"/>
  <c r="M41" i="22"/>
  <c r="N41" i="22" s="1"/>
  <c r="M40" i="22"/>
  <c r="N40" i="22" s="1"/>
  <c r="M39" i="22"/>
  <c r="N39" i="22" s="1"/>
  <c r="M38" i="22"/>
  <c r="N38" i="22" s="1"/>
  <c r="M37" i="22"/>
  <c r="N37" i="22" s="1"/>
  <c r="M36" i="22"/>
  <c r="N36" i="22" s="1"/>
  <c r="M35" i="22"/>
  <c r="N35" i="22" s="1"/>
  <c r="M34" i="22"/>
  <c r="N34" i="22" s="1"/>
  <c r="M33" i="22"/>
  <c r="N33" i="22" s="1"/>
  <c r="M32" i="22"/>
  <c r="N32" i="22" s="1"/>
  <c r="M31" i="22"/>
  <c r="N31" i="22" s="1"/>
  <c r="M30" i="22"/>
  <c r="N30" i="22" s="1"/>
  <c r="M29" i="22"/>
  <c r="N29" i="22" s="1"/>
  <c r="M28" i="22"/>
  <c r="N28" i="22" s="1"/>
  <c r="M27" i="22"/>
  <c r="N27" i="22" s="1"/>
  <c r="M26" i="22"/>
  <c r="N26" i="22" s="1"/>
  <c r="M25" i="22"/>
  <c r="N25" i="22" s="1"/>
  <c r="M24" i="22"/>
  <c r="N24" i="22" s="1"/>
  <c r="M23" i="22"/>
  <c r="N23" i="22" s="1"/>
  <c r="M22" i="22"/>
  <c r="N22" i="22" s="1"/>
  <c r="M21" i="22"/>
  <c r="N21" i="22" s="1"/>
  <c r="M20" i="22"/>
  <c r="N20" i="22" s="1"/>
  <c r="M19" i="22"/>
  <c r="N19" i="22" s="1"/>
  <c r="M18" i="22"/>
  <c r="N18" i="22" s="1"/>
  <c r="M17" i="22"/>
  <c r="N17" i="22" s="1"/>
  <c r="M16" i="22"/>
  <c r="N16" i="22" s="1"/>
  <c r="M15" i="22"/>
  <c r="N15" i="22" s="1"/>
  <c r="M14" i="22"/>
  <c r="N14" i="22" s="1"/>
  <c r="M13" i="22"/>
  <c r="N13" i="22" s="1"/>
  <c r="M12" i="22"/>
  <c r="N12" i="22" s="1"/>
  <c r="M11" i="22"/>
  <c r="N11" i="22" s="1"/>
  <c r="M10" i="22"/>
  <c r="N10" i="22" s="1"/>
  <c r="M9" i="22"/>
  <c r="N9" i="22" s="1"/>
  <c r="M8" i="22"/>
  <c r="N8" i="22" s="1"/>
  <c r="M7" i="22"/>
  <c r="N7" i="22" s="1"/>
  <c r="M6" i="22"/>
  <c r="N6" i="22" s="1"/>
  <c r="M5" i="22"/>
  <c r="N5" i="22" s="1"/>
  <c r="K50" i="23"/>
  <c r="M50" i="23" s="1"/>
  <c r="K49" i="23"/>
  <c r="M49" i="23" s="1"/>
  <c r="K48" i="23"/>
  <c r="M48" i="23" s="1"/>
  <c r="K47" i="23"/>
  <c r="M47" i="23" s="1"/>
  <c r="K46" i="23"/>
  <c r="M46" i="23" s="1"/>
  <c r="M45" i="23"/>
  <c r="K45" i="23"/>
  <c r="K44" i="23"/>
  <c r="M44" i="23" s="1"/>
  <c r="K43" i="23"/>
  <c r="M43" i="23" s="1"/>
  <c r="K42" i="23"/>
  <c r="M42" i="23" s="1"/>
  <c r="K41" i="23"/>
  <c r="M41" i="23" s="1"/>
  <c r="K40" i="23"/>
  <c r="M40" i="23" s="1"/>
  <c r="M39" i="23"/>
  <c r="K39" i="23"/>
  <c r="K38" i="23"/>
  <c r="M38" i="23" s="1"/>
  <c r="K37" i="23"/>
  <c r="M37" i="23" s="1"/>
  <c r="K36" i="23"/>
  <c r="M36" i="23" s="1"/>
  <c r="K35" i="23"/>
  <c r="M35" i="23" s="1"/>
  <c r="K34" i="23"/>
  <c r="M34" i="23" s="1"/>
  <c r="M33" i="23"/>
  <c r="K33" i="23"/>
  <c r="K32" i="23"/>
  <c r="M32" i="23" s="1"/>
  <c r="K31" i="23"/>
  <c r="M31" i="23" s="1"/>
  <c r="K30" i="23"/>
  <c r="M30" i="23" s="1"/>
  <c r="K29" i="23"/>
  <c r="M29" i="23" s="1"/>
  <c r="K28" i="23"/>
  <c r="M28" i="23" s="1"/>
  <c r="M27" i="23"/>
  <c r="K27" i="23"/>
  <c r="K26" i="23"/>
  <c r="M26" i="23" s="1"/>
  <c r="K25" i="23"/>
  <c r="M25" i="23" s="1"/>
  <c r="K24" i="23"/>
  <c r="M24" i="23" s="1"/>
  <c r="K23" i="23"/>
  <c r="M23" i="23" s="1"/>
  <c r="K22" i="23"/>
  <c r="M22" i="23" s="1"/>
  <c r="M21" i="23"/>
  <c r="K21" i="23"/>
  <c r="K20" i="23"/>
  <c r="M20" i="23" s="1"/>
  <c r="K19" i="23"/>
  <c r="M19" i="23" s="1"/>
  <c r="K18" i="23"/>
  <c r="M18" i="23" s="1"/>
  <c r="K17" i="23"/>
  <c r="M17" i="23" s="1"/>
  <c r="K16" i="23"/>
  <c r="M16" i="23" s="1"/>
  <c r="M15" i="23"/>
  <c r="K15" i="23"/>
  <c r="K14" i="23"/>
  <c r="M14" i="23" s="1"/>
  <c r="K13" i="23"/>
  <c r="M13" i="23" s="1"/>
  <c r="K12" i="23"/>
  <c r="M12" i="23" s="1"/>
  <c r="K11" i="23"/>
  <c r="M11" i="23" s="1"/>
  <c r="J52" i="23"/>
  <c r="I52" i="23"/>
  <c r="H52" i="23"/>
  <c r="G52" i="23"/>
  <c r="F52" i="23"/>
  <c r="E52" i="23"/>
  <c r="D52" i="23"/>
  <c r="C51" i="23"/>
  <c r="K10" i="23" l="1"/>
  <c r="K52" i="23" l="1"/>
  <c r="M10" i="23"/>
  <c r="M52" i="23" s="1"/>
  <c r="E29" i="1" l="1"/>
  <c r="E24" i="1"/>
  <c r="E23" i="1"/>
  <c r="E22" i="1"/>
  <c r="E21" i="1"/>
  <c r="E16" i="1"/>
  <c r="E15" i="1"/>
  <c r="E14" i="1"/>
  <c r="E13" i="1"/>
  <c r="E12" i="1"/>
  <c r="R46" i="22"/>
  <c r="Q46" i="22"/>
  <c r="P46" i="22"/>
  <c r="O46" i="22"/>
  <c r="L46" i="22"/>
  <c r="J46" i="22"/>
  <c r="I46" i="22"/>
  <c r="H46" i="22"/>
  <c r="G46" i="22"/>
  <c r="F46" i="22"/>
  <c r="E46" i="22"/>
  <c r="D46" i="22"/>
  <c r="K45" i="22"/>
  <c r="K44" i="22"/>
  <c r="K43" i="22"/>
  <c r="K42" i="22"/>
  <c r="K41" i="22"/>
  <c r="K40" i="22"/>
  <c r="K39" i="22"/>
  <c r="K38" i="22"/>
  <c r="K37" i="22"/>
  <c r="K36" i="22"/>
  <c r="K35" i="22"/>
  <c r="K34" i="22"/>
  <c r="K33" i="22"/>
  <c r="K32" i="22"/>
  <c r="K31" i="22"/>
  <c r="K30" i="22"/>
  <c r="K29" i="22"/>
  <c r="K28" i="22"/>
  <c r="K27" i="22"/>
  <c r="K26" i="22"/>
  <c r="K25" i="22"/>
  <c r="K24" i="22"/>
  <c r="K23" i="22"/>
  <c r="K22" i="22"/>
  <c r="K21" i="22"/>
  <c r="K20" i="22"/>
  <c r="K19" i="22"/>
  <c r="K18" i="22"/>
  <c r="K17" i="22"/>
  <c r="K16" i="22"/>
  <c r="K15" i="22"/>
  <c r="K14" i="22"/>
  <c r="K13" i="22"/>
  <c r="K12" i="22"/>
  <c r="K11" i="22"/>
  <c r="K10" i="22"/>
  <c r="K9" i="22"/>
  <c r="K8" i="22"/>
  <c r="K7" i="22"/>
  <c r="K6" i="22"/>
  <c r="K5" i="22"/>
  <c r="K46" i="22" l="1"/>
  <c r="U46" i="22"/>
  <c r="S45" i="22" l="1"/>
  <c r="T45" i="22" s="1"/>
  <c r="V45" i="22" s="1"/>
  <c r="W45" i="22" s="1"/>
  <c r="S18" i="22" l="1"/>
  <c r="T18" i="22" s="1"/>
  <c r="V18" i="22" s="1"/>
  <c r="W18" i="22" s="1"/>
  <c r="S21" i="22"/>
  <c r="T21" i="22" s="1"/>
  <c r="V21" i="22" s="1"/>
  <c r="W21" i="22" s="1"/>
  <c r="S40" i="22"/>
  <c r="T40" i="22" s="1"/>
  <c r="V40" i="22" s="1"/>
  <c r="W40" i="22" s="1"/>
  <c r="S43" i="22"/>
  <c r="T43" i="22" s="1"/>
  <c r="V43" i="22" s="1"/>
  <c r="W43" i="22" s="1"/>
  <c r="S24" i="22"/>
  <c r="T24" i="22" s="1"/>
  <c r="V24" i="22" s="1"/>
  <c r="W24" i="22" s="1"/>
  <c r="S27" i="22"/>
  <c r="T27" i="22" s="1"/>
  <c r="V27" i="22" s="1"/>
  <c r="W27" i="22" s="1"/>
  <c r="S33" i="22"/>
  <c r="T33" i="22" s="1"/>
  <c r="V33" i="22" s="1"/>
  <c r="W33" i="22" s="1"/>
  <c r="S26" i="22"/>
  <c r="T26" i="22" s="1"/>
  <c r="V26" i="22" s="1"/>
  <c r="W26" i="22" s="1"/>
  <c r="S7" i="22"/>
  <c r="T7" i="22" s="1"/>
  <c r="V7" i="22" s="1"/>
  <c r="W7" i="22" s="1"/>
  <c r="S29" i="22"/>
  <c r="T29" i="22" s="1"/>
  <c r="V29" i="22" s="1"/>
  <c r="W29" i="22" s="1"/>
  <c r="S32" i="22"/>
  <c r="T32" i="22" s="1"/>
  <c r="V32" i="22" s="1"/>
  <c r="W32" i="22" s="1"/>
  <c r="S8" i="22"/>
  <c r="T8" i="22" s="1"/>
  <c r="V8" i="22" s="1"/>
  <c r="W8" i="22" s="1"/>
  <c r="S30" i="22"/>
  <c r="T30" i="22" s="1"/>
  <c r="V30" i="22" s="1"/>
  <c r="W30" i="22" s="1"/>
  <c r="S14" i="22"/>
  <c r="T14" i="22" s="1"/>
  <c r="V14" i="22" s="1"/>
  <c r="W14" i="22" s="1"/>
  <c r="S39" i="22"/>
  <c r="T39" i="22" s="1"/>
  <c r="V39" i="22" s="1"/>
  <c r="W39" i="22" s="1"/>
  <c r="S10" i="22"/>
  <c r="T10" i="22" s="1"/>
  <c r="V10" i="22" s="1"/>
  <c r="W10" i="22" s="1"/>
  <c r="S13" i="22"/>
  <c r="T13" i="22" s="1"/>
  <c r="V13" i="22" s="1"/>
  <c r="W13" i="22" s="1"/>
  <c r="S35" i="22"/>
  <c r="T35" i="22" s="1"/>
  <c r="V35" i="22" s="1"/>
  <c r="W35" i="22" s="1"/>
  <c r="S38" i="22"/>
  <c r="T38" i="22" s="1"/>
  <c r="V38" i="22" s="1"/>
  <c r="W38" i="22" s="1"/>
  <c r="S11" i="22"/>
  <c r="T11" i="22" s="1"/>
  <c r="V11" i="22" s="1"/>
  <c r="W11" i="22" s="1"/>
  <c r="S36" i="22"/>
  <c r="T36" i="22" s="1"/>
  <c r="V36" i="22" s="1"/>
  <c r="W36" i="22" s="1"/>
  <c r="S16" i="22"/>
  <c r="T16" i="22" s="1"/>
  <c r="V16" i="22" s="1"/>
  <c r="W16" i="22" s="1"/>
  <c r="S19" i="22"/>
  <c r="T19" i="22" s="1"/>
  <c r="V19" i="22" s="1"/>
  <c r="W19" i="22" s="1"/>
  <c r="S41" i="22"/>
  <c r="T41" i="22" s="1"/>
  <c r="V41" i="22" s="1"/>
  <c r="W41" i="22" s="1"/>
  <c r="S44" i="22"/>
  <c r="T44" i="22" s="1"/>
  <c r="V44" i="22" s="1"/>
  <c r="W44" i="22" s="1"/>
  <c r="S22" i="22"/>
  <c r="T22" i="22" s="1"/>
  <c r="V22" i="22" s="1"/>
  <c r="W22" i="22" s="1"/>
  <c r="S25" i="22"/>
  <c r="T25" i="22" s="1"/>
  <c r="V25" i="22" s="1"/>
  <c r="W25" i="22" s="1"/>
  <c r="S20" i="22"/>
  <c r="T20" i="22" s="1"/>
  <c r="V20" i="22" s="1"/>
  <c r="W20" i="22" s="1"/>
  <c r="S42" i="22"/>
  <c r="T42" i="22" s="1"/>
  <c r="V42" i="22" s="1"/>
  <c r="W42" i="22" s="1"/>
  <c r="S6" i="22"/>
  <c r="T6" i="22" s="1"/>
  <c r="V6" i="22" s="1"/>
  <c r="W6" i="22" s="1"/>
  <c r="S9" i="22"/>
  <c r="T9" i="22" s="1"/>
  <c r="V9" i="22" s="1"/>
  <c r="W9" i="22" s="1"/>
  <c r="S28" i="22"/>
  <c r="T28" i="22" s="1"/>
  <c r="V28" i="22" s="1"/>
  <c r="W28" i="22" s="1"/>
  <c r="S31" i="22"/>
  <c r="T31" i="22" s="1"/>
  <c r="V31" i="22" s="1"/>
  <c r="W31" i="22" s="1"/>
  <c r="S17" i="22"/>
  <c r="T17" i="22" s="1"/>
  <c r="V17" i="22" s="1"/>
  <c r="W17" i="22" s="1"/>
  <c r="S23" i="22"/>
  <c r="T23" i="22" s="1"/>
  <c r="V23" i="22" s="1"/>
  <c r="W23" i="22" s="1"/>
  <c r="S12" i="22"/>
  <c r="T12" i="22" s="1"/>
  <c r="V12" i="22" s="1"/>
  <c r="W12" i="22" s="1"/>
  <c r="S15" i="22"/>
  <c r="T15" i="22" s="1"/>
  <c r="V15" i="22" s="1"/>
  <c r="W15" i="22" s="1"/>
  <c r="S34" i="22"/>
  <c r="T34" i="22" s="1"/>
  <c r="V34" i="22" s="1"/>
  <c r="W34" i="22" s="1"/>
  <c r="S37" i="22"/>
  <c r="T37" i="22" s="1"/>
  <c r="V37" i="22" s="1"/>
  <c r="W37" i="22" s="1"/>
  <c r="E20" i="1" l="1"/>
  <c r="S5" i="22"/>
  <c r="N46" i="22"/>
  <c r="M46" i="22"/>
  <c r="A4" i="4"/>
  <c r="S46" i="22" l="1"/>
  <c r="T5" i="22"/>
  <c r="C24" i="1"/>
  <c r="C23" i="1"/>
  <c r="C22" i="1"/>
  <c r="C21" i="1"/>
  <c r="C16" i="1"/>
  <c r="C15" i="1"/>
  <c r="C14" i="1"/>
  <c r="C13" i="1"/>
  <c r="C12" i="1"/>
  <c r="V5" i="22" l="1"/>
  <c r="T46" i="22"/>
  <c r="E37" i="1"/>
  <c r="V46" i="22" l="1"/>
  <c r="W5" i="22"/>
  <c r="E17" i="1"/>
  <c r="W46" i="22" l="1"/>
  <c r="E25" i="1"/>
  <c r="E27" i="1" s="1"/>
  <c r="E31" i="1" s="1"/>
  <c r="E33" i="1" s="1"/>
  <c r="D29" i="4"/>
  <c r="D22" i="4"/>
  <c r="D37" i="4"/>
  <c r="D23" i="4"/>
  <c r="D36" i="4"/>
  <c r="D12" i="4"/>
  <c r="D35" i="4"/>
  <c r="D26" i="4"/>
  <c r="D38" i="4"/>
  <c r="D24" i="4"/>
  <c r="D10" i="4"/>
  <c r="D25" i="4"/>
  <c r="D13" i="4"/>
  <c r="D30" i="4"/>
  <c r="D15" i="4"/>
  <c r="D18" i="4"/>
  <c r="D33" i="4"/>
  <c r="D16" i="4"/>
  <c r="D17" i="4"/>
  <c r="D47" i="4"/>
  <c r="D45" i="4"/>
  <c r="D21" i="4"/>
  <c r="D11" i="4"/>
  <c r="D46" i="4"/>
  <c r="D14" i="4"/>
  <c r="D34" i="4"/>
  <c r="D48" i="4"/>
  <c r="D31" i="4" l="1"/>
  <c r="D19" i="4"/>
  <c r="D27" i="4"/>
  <c r="D43" i="4"/>
  <c r="D32" i="4"/>
  <c r="D20" i="4"/>
  <c r="D40" i="4" l="1"/>
  <c r="D39" i="4"/>
  <c r="D28" i="4"/>
  <c r="D41" i="4"/>
  <c r="D42" i="4"/>
  <c r="D44" i="4"/>
  <c r="D8" i="4" l="1"/>
  <c r="D9" i="4" l="1"/>
  <c r="D49" i="4" s="1"/>
  <c r="B50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cdudley</author>
  </authors>
  <commentList>
    <comment ref="C8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This page number is from the Annual Report and AFR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 satisfied Microsoft Office user</author>
  </authors>
  <commentList>
    <comment ref="H9" authorId="0" shapeId="0" xr:uid="{AC326D0D-8157-4882-AC69-D6249F55D9EB}">
      <text>
        <r>
          <rPr>
            <sz val="8"/>
            <color indexed="81"/>
            <rFont val="Tahoma"/>
            <family val="2"/>
          </rPr>
          <t>Ok to go above the statutory ceiling because the levy is still under the certified tax rate.  See 59-2-914(3)(a)  It is important that in the case of a voted or board leeway that the levy does not go above that voted by the public or by the local school board.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Moss, Winona</author>
    <author>Frost, Dale</author>
  </authors>
  <commentList>
    <comment ref="HF1" authorId="0" shapeId="0" xr:uid="{CAEF4A63-E986-4C56-9B34-6DFE61A04C2C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Pre-K rolled into Elementary FY26
</t>
        </r>
      </text>
    </comment>
    <comment ref="C49" authorId="0" shapeId="0" xr:uid="{7F959CA5-0E38-4101-B64D-4666D35477AC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Rolled 9M into 74. 9/26/2025</t>
        </r>
      </text>
    </comment>
    <comment ref="FB49" authorId="0" shapeId="0" xr:uid="{F60117D2-BF5C-436D-B5D4-CF04596BBB49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Combined 74 and 9M on 4.14.2026. Our first data numbers were combined incorrectly and over counted FY2025 ADM.</t>
        </r>
      </text>
    </comment>
    <comment ref="FC49" authorId="0" shapeId="0" xr:uid="{C4379E29-D1DE-4B8E-A221-078972E7A73C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Combined 74 and 9M on 4.14.2026. Our first data numbers were combined incorrectly and over counted FY2025 ADM.</t>
        </r>
      </text>
    </comment>
    <comment ref="FD49" authorId="0" shapeId="0" xr:uid="{913994C0-D62A-4F26-B228-6A0AB060AF27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Combined 74 and 9M on 4.14.2026. Our first data numbers were combined incorrectly and over counted FY2025 ADM.</t>
        </r>
      </text>
    </comment>
    <comment ref="FE49" authorId="0" shapeId="0" xr:uid="{754EF0CE-9DAE-415D-996B-01C1AEB36E3C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Combined 74 and 9M on 4.14.2026. Our first data numbers were combined incorrectly and over counted FY2025 ADM.</t>
        </r>
      </text>
    </comment>
    <comment ref="FF49" authorId="0" shapeId="0" xr:uid="{B8321EE1-2DE2-4204-8F0D-6364E28F19D5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Combined 74 and 9M on 4.14.2026. Our first data numbers were combined incorrectly and over counted FY2025 ADM.</t>
        </r>
      </text>
    </comment>
    <comment ref="FG49" authorId="0" shapeId="0" xr:uid="{14167F27-2EC2-485F-998A-F1780E93A0D8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Combined 74 and 9M on 4.14.2026. Our first data numbers were combined incorrectly and over counted FY2025 ADM.</t>
        </r>
      </text>
    </comment>
    <comment ref="FH49" authorId="0" shapeId="0" xr:uid="{7FFF56BB-877C-4F2D-A091-5ED82BF2AB69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Combined 74 and 9M on 4.14.2026. Our first data numbers were combined incorrectly and over counted FY2025 ADM.</t>
        </r>
      </text>
    </comment>
    <comment ref="FI49" authorId="0" shapeId="0" xr:uid="{273B6C58-B138-4DCB-8425-90AA2F4FB96C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Combined 74 and 9M on 4.14.2026. Our first data numbers were combined incorrectly and over counted FY2025 ADM.</t>
        </r>
      </text>
    </comment>
    <comment ref="FJ49" authorId="0" shapeId="0" xr:uid="{7D52B219-1E3E-4D19-9108-C92395D14304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Combined 74 and 9M on 4.14.2026. Our first data numbers were combined incorrectly and over counted FY2025 ADM.</t>
        </r>
      </text>
    </comment>
    <comment ref="FK49" authorId="0" shapeId="0" xr:uid="{222FCA60-2CF4-40E0-A299-3F7A3DFD00D8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Combined 74 and 9M on 4.14.2026. Our first data numbers were combined incorrectly and over counted FY2025 ADM.</t>
        </r>
      </text>
    </comment>
    <comment ref="FL49" authorId="0" shapeId="0" xr:uid="{0544B9B4-E6D4-4CBE-9EB5-CFBAC82FA0A4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Combined 74 and 9M on 4.14.2026. Our first data numbers were combined incorrectly and over counted FY2025 ADM.</t>
        </r>
      </text>
    </comment>
    <comment ref="FM49" authorId="0" shapeId="0" xr:uid="{02E2D61A-0C8D-423E-ABCA-171310493DE6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Combined 74 and 9M on 4.14.2026. Our first data numbers were combined incorrectly and over counted FY2025 ADM.</t>
        </r>
      </text>
    </comment>
    <comment ref="FN49" authorId="0" shapeId="0" xr:uid="{33D45843-A649-4214-A345-6172C69C11A4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Combined 74 and 9M on 4.14.2026. Our first data numbers were combined incorrectly and over counted FY2025 ADM.</t>
        </r>
      </text>
    </comment>
    <comment ref="FO49" authorId="0" shapeId="0" xr:uid="{7E787131-9B20-4BFF-B15E-5F92D4DF210F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Combined 74 and 9M on 4.14.2026. Our first data numbers were combined incorrectly and over counted FY2025 ADM.</t>
        </r>
      </text>
    </comment>
    <comment ref="FP49" authorId="0" shapeId="0" xr:uid="{C33B1851-31F6-490B-A897-7015866E4D81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Combined 74 and 9M on 4.14.2026. Our first data numbers were combined incorrectly and over counted FY2025 ADM.</t>
        </r>
      </text>
    </comment>
    <comment ref="FQ49" authorId="0" shapeId="0" xr:uid="{1874328F-87E1-4003-8FE6-61E47B655633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Combined 74 and 9M on 4.14.2026. Our first data numbers were combined incorrectly and over counted FY2025 ADM.</t>
        </r>
      </text>
    </comment>
    <comment ref="FR49" authorId="0" shapeId="0" xr:uid="{3BA6485E-F74E-47B4-B1B7-28F89801A63C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Combined 74 and 9M on 4.14.2026. Our first data numbers were combined incorrectly and over counted FY2025 ADM.</t>
        </r>
      </text>
    </comment>
    <comment ref="FS49" authorId="0" shapeId="0" xr:uid="{90889F63-A5C6-4C3A-A654-B4E71CD3D914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Combined 74 and 9M on 4.14.2026. Our first data numbers were combined incorrectly and over counted FY2025 ADM.</t>
        </r>
      </text>
    </comment>
    <comment ref="FT49" authorId="0" shapeId="0" xr:uid="{B459024B-8229-44F0-A6D4-BA90370CC1A6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Combined 74 and 9M on 4.14.2026. Our first data numbers were combined incorrectly and over counted FY2025 ADM.</t>
        </r>
      </text>
    </comment>
    <comment ref="FU49" authorId="0" shapeId="0" xr:uid="{70BD331D-BF93-4B72-8849-A69E8EDF7896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Combined 74 and 9M on 4.14.2026. Our first data numbers were combined incorrectly and over counted FY2025 ADM.</t>
        </r>
      </text>
    </comment>
    <comment ref="C71" authorId="1" shapeId="0" xr:uid="{76E6C31C-15ED-4259-9A86-3F085A5C2253}">
      <text>
        <r>
          <rPr>
            <b/>
            <sz val="9"/>
            <color indexed="81"/>
            <rFont val="Tahoma"/>
            <family val="2"/>
          </rPr>
          <t>Frost, Dale:</t>
        </r>
        <r>
          <rPr>
            <sz val="9"/>
            <color indexed="81"/>
            <rFont val="Tahoma"/>
            <family val="2"/>
          </rPr>
          <t xml:space="preserve">
Merging with Salt Lake Academy. All of the data for this LEA added there and zeroed out here. </t>
        </r>
      </text>
    </comment>
    <comment ref="C73" authorId="1" shapeId="0" xr:uid="{524076D5-13FC-455D-AB28-97DCA4AE6EFD}">
      <text>
        <r>
          <rPr>
            <b/>
            <sz val="9"/>
            <color indexed="81"/>
            <rFont val="Tahoma"/>
            <family val="2"/>
          </rPr>
          <t>Frost, Dale:</t>
        </r>
        <r>
          <rPr>
            <sz val="9"/>
            <color indexed="81"/>
            <rFont val="Tahoma"/>
            <family val="2"/>
          </rPr>
          <t xml:space="preserve">
Their planned-for expansion is not happening until FY27. Therefore, the total projected enrollments for October 1, 2025 were revised to 905. </t>
        </r>
      </text>
    </comment>
    <comment ref="C90" authorId="0" shapeId="0" xr:uid="{9AE53B66-4926-478A-82CC-5BF379488B07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Subsumed to Canyon Grove in FY2027.
Moved data back for MY Update to correct APA.
</t>
        </r>
      </text>
    </comment>
    <comment ref="C103" authorId="1" shapeId="0" xr:uid="{987BF028-CC9F-4FAB-B43D-3D641CAC422A}">
      <text>
        <r>
          <rPr>
            <b/>
            <sz val="9"/>
            <color indexed="81"/>
            <rFont val="Tahoma"/>
            <family val="2"/>
          </rPr>
          <t>Frost, Dale:</t>
        </r>
        <r>
          <rPr>
            <sz val="9"/>
            <color indexed="81"/>
            <rFont val="Tahoma"/>
            <family val="2"/>
          </rPr>
          <t xml:space="preserve">
Moab Charter (A70) is being subsummed by this LEA. Adding A70's data here. </t>
        </r>
      </text>
    </comment>
    <comment ref="C145" authorId="0" shapeId="0" xr:uid="{260831C6-3ED7-4DF2-A633-7235C1A95DE2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1L Athlos rolled into 8L Salt Lake Academy. 9/26/2025</t>
        </r>
      </text>
    </comment>
    <comment ref="EI146" authorId="1" shapeId="0" xr:uid="{BD979102-AC83-48B3-A5BC-52843A1A8F4D}">
      <text>
        <r>
          <rPr>
            <b/>
            <sz val="9"/>
            <color indexed="81"/>
            <rFont val="Tahoma"/>
            <family val="2"/>
          </rPr>
          <t>Frost, Dale:</t>
        </r>
        <r>
          <rPr>
            <sz val="9"/>
            <color indexed="81"/>
            <rFont val="Tahoma"/>
            <family val="2"/>
          </rPr>
          <t xml:space="preserve">
Per 53F-2-707, this LEA was approved for a change to their enrollment projections because enrollments in their SIS came in much higher than 10% above initial CDC projections. This was approved on July 14, 2025. </t>
        </r>
      </text>
    </comment>
    <comment ref="EJ146" authorId="1" shapeId="0" xr:uid="{228F9D9C-FC52-4B79-8F27-5FE1BEAC9AAD}">
      <text>
        <r>
          <rPr>
            <b/>
            <sz val="9"/>
            <color indexed="81"/>
            <rFont val="Tahoma"/>
            <family val="2"/>
          </rPr>
          <t>Frost, Dale:</t>
        </r>
        <r>
          <rPr>
            <sz val="9"/>
            <color indexed="81"/>
            <rFont val="Tahoma"/>
            <family val="2"/>
          </rPr>
          <t xml:space="preserve">
Per 53F-2-707, this LEA was approved for a change to their enrollment projections because enrollments in their SIS came in much higher than 10% above initial CDC projections. This was approved on July 14, 2025. </t>
        </r>
      </text>
    </comment>
    <comment ref="EK146" authorId="1" shapeId="0" xr:uid="{176E4407-4AE6-4BF4-A3AA-709C588C9439}">
      <text>
        <r>
          <rPr>
            <b/>
            <sz val="9"/>
            <color indexed="81"/>
            <rFont val="Tahoma"/>
            <family val="2"/>
          </rPr>
          <t>Frost, Dale:</t>
        </r>
        <r>
          <rPr>
            <sz val="9"/>
            <color indexed="81"/>
            <rFont val="Tahoma"/>
            <family val="2"/>
          </rPr>
          <t xml:space="preserve">
Per 53F-2-707, this LEA was approved for a change to their enrollment projections because enrollments in their SIS came in much higher than 10% above initial CDC projections. This was approved on July 14, 2025. </t>
        </r>
      </text>
    </comment>
    <comment ref="EL146" authorId="1" shapeId="0" xr:uid="{5B6DB33B-4397-4B11-B211-D6818CD19DEE}">
      <text>
        <r>
          <rPr>
            <b/>
            <sz val="9"/>
            <color indexed="81"/>
            <rFont val="Tahoma"/>
            <family val="2"/>
          </rPr>
          <t>Frost, Dale:</t>
        </r>
        <r>
          <rPr>
            <sz val="9"/>
            <color indexed="81"/>
            <rFont val="Tahoma"/>
            <family val="2"/>
          </rPr>
          <t xml:space="preserve">
Per 53F-2-707, this LEA was approved for a change to their enrollment projections because enrollments in their SIS came in much higher than 10% above initial CDC projections. This was approved on July 14, 2025. </t>
        </r>
      </text>
    </comment>
    <comment ref="EM146" authorId="1" shapeId="0" xr:uid="{8C84DC42-CE47-434D-A132-6ACE6ECF0D81}">
      <text>
        <r>
          <rPr>
            <b/>
            <sz val="9"/>
            <color indexed="81"/>
            <rFont val="Tahoma"/>
            <family val="2"/>
          </rPr>
          <t>Frost, Dale:</t>
        </r>
        <r>
          <rPr>
            <sz val="9"/>
            <color indexed="81"/>
            <rFont val="Tahoma"/>
            <family val="2"/>
          </rPr>
          <t xml:space="preserve">
Per 53F-2-707, this LEA was approved for a change to their enrollment projections because enrollments in their SIS came in much higher than 10% above initial CDC projections. This was approved on July 14, 2025. </t>
        </r>
      </text>
    </comment>
    <comment ref="EN146" authorId="1" shapeId="0" xr:uid="{8B9F606E-C6D5-4905-92DD-8C0083685E80}">
      <text>
        <r>
          <rPr>
            <b/>
            <sz val="9"/>
            <color indexed="81"/>
            <rFont val="Tahoma"/>
            <family val="2"/>
          </rPr>
          <t>Frost, Dale:</t>
        </r>
        <r>
          <rPr>
            <sz val="9"/>
            <color indexed="81"/>
            <rFont val="Tahoma"/>
            <family val="2"/>
          </rPr>
          <t xml:space="preserve">
Per 53F-2-707, this LEA was approved for a change to their enrollment projections because enrollments in their SIS came in much higher than 10% above initial CDC projections. This was approved on July 14, 2025. </t>
        </r>
      </text>
    </comment>
    <comment ref="C155" authorId="1" shapeId="0" xr:uid="{C17A54F1-A02E-4166-B52D-46D4248067BA}">
      <text>
        <r>
          <rPr>
            <b/>
            <sz val="9"/>
            <color indexed="81"/>
            <rFont val="Tahoma"/>
            <family val="2"/>
          </rPr>
          <t>Frost, Dale:</t>
        </r>
        <r>
          <rPr>
            <sz val="9"/>
            <color indexed="81"/>
            <rFont val="Tahoma"/>
            <family val="2"/>
          </rPr>
          <t xml:space="preserve">
Combining with APA (ID: 74). Combined all of the data under APA's ID (74). </t>
        </r>
      </text>
    </comment>
    <comment ref="C162" authorId="1" shapeId="0" xr:uid="{C425660A-BEE3-4007-B597-0BD6EF871EB0}">
      <text>
        <r>
          <rPr>
            <b/>
            <sz val="9"/>
            <color indexed="81"/>
            <rFont val="Tahoma"/>
            <family val="2"/>
          </rPr>
          <t>Frost, Dale:</t>
        </r>
        <r>
          <rPr>
            <sz val="9"/>
            <color indexed="81"/>
            <rFont val="Tahoma"/>
            <family val="2"/>
          </rPr>
          <t xml:space="preserve">
Being merged with 4K0. Zeroing out the data for this charter here. </t>
        </r>
      </text>
    </comment>
    <comment ref="FA162" authorId="0" shapeId="0" xr:uid="{7025D2EB-B4F2-4E1D-912F-E70BA7DA93E8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Rolled all Moab charter ADM into 4K.</t>
        </r>
      </text>
    </comment>
    <comment ref="HN167" authorId="0" shapeId="0" xr:uid="{1506FC75-E924-463D-93DB-9BFBC221CDF6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Updated 3.24.2026 per Custom Class. Approved by Sam Urie.</t>
        </r>
      </text>
    </comment>
    <comment ref="HO167" authorId="0" shapeId="0" xr:uid="{AC22DD5A-7D60-488A-A7B6-91B0EF4578A2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Updated 3.24.2026 per Custom Class. Approved by Sam Urie.</t>
        </r>
      </text>
    </comment>
    <comment ref="HP167" authorId="0" shapeId="0" xr:uid="{FCC0436A-9A49-43A9-B080-87824AD13F5E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Updated 3.24.2026 per Custom Class. Approved by Sam Urie.</t>
        </r>
      </text>
    </comment>
    <comment ref="HQ167" authorId="0" shapeId="0" xr:uid="{EB51982B-81B5-4F78-84B3-61FF93201DC1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Updated 3.24.2026 per Custom Class. Approved by Sam Urie.</t>
        </r>
      </text>
    </comment>
    <comment ref="HR167" authorId="0" shapeId="0" xr:uid="{26CE37B5-A444-40BD-AF46-1B98C5C18A4B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Updated 3.24.2026 per Custom Class. Approved by Sam Urie.</t>
        </r>
      </text>
    </comment>
    <comment ref="HS167" authorId="0" shapeId="0" xr:uid="{E34E0D9B-1F6C-43F0-92F1-9CC97FEA3578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Updated 3.24.2026 per Custom Class. Approved by Sam Urie.</t>
        </r>
      </text>
    </comment>
    <comment ref="HT167" authorId="0" shapeId="0" xr:uid="{25BD4A26-C8B0-4E7B-BA7F-45CD978A6B8F}">
      <text>
        <r>
          <rPr>
            <b/>
            <sz val="9"/>
            <color indexed="81"/>
            <rFont val="Tahoma"/>
            <family val="2"/>
          </rPr>
          <t>Moss, Winona:</t>
        </r>
        <r>
          <rPr>
            <sz val="9"/>
            <color indexed="81"/>
            <rFont val="Tahoma"/>
            <family val="2"/>
          </rPr>
          <t xml:space="preserve">
Updated 3.24.2026 per Custom Class. Approved by Sam Urie.</t>
        </r>
      </text>
    </comment>
  </commentList>
</comments>
</file>

<file path=xl/sharedStrings.xml><?xml version="1.0" encoding="utf-8"?>
<sst xmlns="http://schemas.openxmlformats.org/spreadsheetml/2006/main" count="1515" uniqueCount="901">
  <si>
    <t>Fund Transfer Worksheet</t>
  </si>
  <si>
    <t>Items</t>
  </si>
  <si>
    <t>Page # of Report</t>
  </si>
  <si>
    <t>A. Maintenance and Operation Fund (AR)</t>
  </si>
  <si>
    <t>C.     Less-Site Acquisition (AFR)</t>
  </si>
  <si>
    <t>D.     Less-New Sq. Ft. Construction (AFR)</t>
  </si>
  <si>
    <t>E.     Less-Remodeling (AFR)</t>
  </si>
  <si>
    <t>F.</t>
  </si>
  <si>
    <t>Less Revenues:</t>
  </si>
  <si>
    <t>Total Expenditures Before Interfund Transfers:</t>
  </si>
  <si>
    <t>H. State Revenue [M&amp;O] (AR)</t>
  </si>
  <si>
    <t>I.  Federal Revenue [M&amp;O] (AR)</t>
  </si>
  <si>
    <t>J. State Revenue [CO] (AR)</t>
  </si>
  <si>
    <t>K. Federal Revenue [CO] (AR)</t>
  </si>
  <si>
    <t>L.</t>
  </si>
  <si>
    <t>Total (A through E)</t>
  </si>
  <si>
    <t>Total (G through K)</t>
  </si>
  <si>
    <t>M.</t>
  </si>
  <si>
    <t>N.</t>
  </si>
  <si>
    <t>O.</t>
  </si>
  <si>
    <t>P.</t>
  </si>
  <si>
    <t>Local Expenditure per Student (Divide M by N)</t>
  </si>
  <si>
    <t xml:space="preserve">R.  </t>
  </si>
  <si>
    <t xml:space="preserve">Q.  </t>
  </si>
  <si>
    <t>Difference (F minus L)</t>
  </si>
  <si>
    <t>Use this worksheet to calculate the per pupil share of local school district funds to</t>
  </si>
  <si>
    <t>Name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</si>
  <si>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</si>
  <si>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</si>
  <si>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</si>
  <si>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</si>
  <si>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</si>
  <si>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</si>
  <si>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</si>
  <si>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</si>
  <si>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</si>
  <si>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</si>
  <si>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</si>
  <si>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</si>
  <si>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</si>
  <si>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</si>
  <si>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</si>
  <si>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</si>
  <si>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Alpine</t>
  </si>
  <si>
    <t>Beaver</t>
  </si>
  <si>
    <t>Box Elder</t>
  </si>
  <si>
    <t>Cache</t>
  </si>
  <si>
    <t>Carbon</t>
  </si>
  <si>
    <t>Daggett</t>
  </si>
  <si>
    <t>Davis</t>
  </si>
  <si>
    <t>Duchesne</t>
  </si>
  <si>
    <t>Emery</t>
  </si>
  <si>
    <t>Garfield</t>
  </si>
  <si>
    <t>Grand</t>
  </si>
  <si>
    <t>Granite</t>
  </si>
  <si>
    <t>Iron</t>
  </si>
  <si>
    <t>Jordan</t>
  </si>
  <si>
    <t>Juab</t>
  </si>
  <si>
    <t>Kane</t>
  </si>
  <si>
    <t>Millard</t>
  </si>
  <si>
    <t>Morgan</t>
  </si>
  <si>
    <t>Nebo</t>
  </si>
  <si>
    <t>No. Sanpete</t>
  </si>
  <si>
    <t>No. Summit</t>
  </si>
  <si>
    <t>Park City</t>
  </si>
  <si>
    <t>Piute</t>
  </si>
  <si>
    <t>Rich</t>
  </si>
  <si>
    <t>San Juan</t>
  </si>
  <si>
    <t>Sevier</t>
  </si>
  <si>
    <t>So. Sanpete</t>
  </si>
  <si>
    <t>So. Summit</t>
  </si>
  <si>
    <t>Tintic</t>
  </si>
  <si>
    <t>Tooele</t>
  </si>
  <si>
    <t>Wasatch</t>
  </si>
  <si>
    <t>Washington</t>
  </si>
  <si>
    <t>Wayne</t>
  </si>
  <si>
    <t>Weber</t>
  </si>
  <si>
    <t>Salt Lake</t>
  </si>
  <si>
    <t>Ogden</t>
  </si>
  <si>
    <t>Provo</t>
  </si>
  <si>
    <t>Logan</t>
  </si>
  <si>
    <t>Murray</t>
  </si>
  <si>
    <t>Local</t>
  </si>
  <si>
    <t>Amount</t>
  </si>
  <si>
    <t>Total</t>
  </si>
  <si>
    <t>Students</t>
  </si>
  <si>
    <t>Summary of 50% of Local Expenditure per Student</t>
  </si>
  <si>
    <t>District</t>
  </si>
  <si>
    <t>per Student</t>
  </si>
  <si>
    <t>Number of</t>
  </si>
  <si>
    <t>50% Allotment (O times 50%) (Not less than zero)</t>
  </si>
  <si>
    <t>Voted</t>
  </si>
  <si>
    <t>Board</t>
  </si>
  <si>
    <t>State-Supported</t>
  </si>
  <si>
    <t>Capital</t>
  </si>
  <si>
    <t>Program</t>
  </si>
  <si>
    <t>Total Amounts</t>
  </si>
  <si>
    <t>B1</t>
  </si>
  <si>
    <t>B2</t>
  </si>
  <si>
    <t>Rate</t>
  </si>
  <si>
    <t>B. Capital Outlay Expenditures</t>
  </si>
  <si>
    <t>Estimated Assessed Valuations and Final Approved School District Tax Rates</t>
  </si>
  <si>
    <t>AVERAGE</t>
  </si>
  <si>
    <t>Total Final</t>
  </si>
  <si>
    <t>Local School</t>
  </si>
  <si>
    <t>District Levy</t>
  </si>
  <si>
    <t>Average Levies</t>
  </si>
  <si>
    <t>****General Obligation Bond Debt</t>
  </si>
  <si>
    <t>Uintah</t>
  </si>
  <si>
    <t>Local School District</t>
  </si>
  <si>
    <t>R277-437</t>
  </si>
  <si>
    <t>Canyons</t>
  </si>
  <si>
    <t>Debt</t>
  </si>
  <si>
    <t>(Source:  Utah State Tax Commission, Property Tax Division)</t>
  </si>
  <si>
    <t>11-14-310**</t>
  </si>
  <si>
    <t>Statutory Maximum</t>
  </si>
  <si>
    <t>None</t>
  </si>
  <si>
    <t>USTC Budget Code</t>
  </si>
  <si>
    <t>Local Levy</t>
  </si>
  <si>
    <t>Service****</t>
  </si>
  <si>
    <t>Levy</t>
  </si>
  <si>
    <t xml:space="preserve">Sevier </t>
  </si>
  <si>
    <t xml:space="preserve">Information for this worksheet is taken from the summary of Annual Financial Reports </t>
  </si>
  <si>
    <t>Number of Students Attending other LEAs</t>
  </si>
  <si>
    <t>Discharge</t>
  </si>
  <si>
    <t>of</t>
  </si>
  <si>
    <t>59-2-1330**</t>
  </si>
  <si>
    <t>Judgement</t>
  </si>
  <si>
    <t>Residual per Student Expenditure</t>
  </si>
  <si>
    <t>Total Exp Less Prop, Bldg, Construction</t>
  </si>
  <si>
    <t>Prop Tax Rev</t>
  </si>
  <si>
    <t>Local Rev Collected Under Basic Rate (MSP)</t>
  </si>
  <si>
    <t>State Rev -Cap. Projects</t>
  </si>
  <si>
    <t>State Revenue Gen Fund</t>
  </si>
  <si>
    <t>Fed Rev-Cap. Projects</t>
  </si>
  <si>
    <t>Total Local, State, Federal Rev</t>
  </si>
  <si>
    <t>Total Exp Less Local, State, Fed Rev &amp; Exp for Prop., Bldg, Construction</t>
  </si>
  <si>
    <t>UCA 53G-6-405</t>
  </si>
  <si>
    <t>Utah State Board of Education</t>
  </si>
  <si>
    <t>Charter</t>
  </si>
  <si>
    <t>Values Adj. for</t>
  </si>
  <si>
    <t>School Levy</t>
  </si>
  <si>
    <t>RDA &amp; BOE</t>
  </si>
  <si>
    <t>53F-2-301.5**</t>
  </si>
  <si>
    <t>53F-8-302**</t>
  </si>
  <si>
    <t>53F-2-703,704</t>
  </si>
  <si>
    <t>53F-8-303**</t>
  </si>
  <si>
    <t>53F-8-301**</t>
  </si>
  <si>
    <t xml:space="preserve"> *From initial Roll Values from the State Tax Commission with estimated fees-in-lieu, less adjustments calculated from estimated redevelopment increment data from</t>
  </si>
  <si>
    <t xml:space="preserve">    redevelopment agencies.</t>
  </si>
  <si>
    <t>**Section of Utah Code 2018 that authorizes levy.</t>
  </si>
  <si>
    <t>***Adjusted for redevelopment &amp; board of equalization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</si>
  <si>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</si>
  <si>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</si>
  <si>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</si>
  <si>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</si>
  <si>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</si>
  <si>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</si>
  <si>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</si>
  <si>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</si>
  <si>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</si>
  <si>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</si>
  <si>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</si>
  <si>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</si>
  <si>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</si>
  <si>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</si>
  <si>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</si>
  <si>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</si>
  <si>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</si>
  <si>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</si>
  <si>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</si>
  <si>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</si>
  <si>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</si>
  <si>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</si>
  <si>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</si>
  <si>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</si>
  <si>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</si>
  <si>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</si>
  <si>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</si>
  <si>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</si>
  <si>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</si>
  <si>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</si>
  <si>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</si>
  <si>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</si>
  <si>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</si>
  <si>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</si>
  <si>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</si>
  <si>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</si>
  <si>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</si>
  <si>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</si>
  <si>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</si>
  <si>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</si>
  <si>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042</t>
  </si>
  <si>
    <t>Capital Outlay Total Expenditures</t>
  </si>
  <si>
    <t>Interest</t>
  </si>
  <si>
    <t>Redemption of Principal</t>
  </si>
  <si>
    <t>ID</t>
  </si>
  <si>
    <t>***Initial</t>
  </si>
  <si>
    <t>W/O Charter</t>
  </si>
  <si>
    <t>AFR-Total Property</t>
  </si>
  <si>
    <t>AFR-Total Building</t>
  </si>
  <si>
    <t>AFR-Total Construction</t>
  </si>
  <si>
    <t>Fed Revenue Gen fund</t>
  </si>
  <si>
    <t>General Fund 10 less local replacement (5619)</t>
  </si>
  <si>
    <t>Fund 32 Less Local Replacement (5619)</t>
  </si>
  <si>
    <t>Fund 10
Revenue 1100s Property Taxes</t>
  </si>
  <si>
    <t>Amount Due Other LEA (P times Q)</t>
  </si>
  <si>
    <t>Average Daily Membership</t>
  </si>
  <si>
    <t>G. Taxes Collected Under MSP Basic Rate (AFR/AR)</t>
  </si>
  <si>
    <t>Statute and Rule:</t>
  </si>
  <si>
    <t>of school districts.</t>
  </si>
  <si>
    <t xml:space="preserve">Type District Name Here: </t>
  </si>
  <si>
    <t>be forwarded to another school district from the school district of residence</t>
  </si>
  <si>
    <t>for students attending schools within the host school district.</t>
  </si>
  <si>
    <t>Fund 32 
Rev 4*</t>
  </si>
  <si>
    <t>Fund 32
Rev 3*</t>
  </si>
  <si>
    <t>Fund 10
Rev 4*</t>
  </si>
  <si>
    <t>Fund 10
Rev 3*</t>
  </si>
  <si>
    <t>VALTAX</t>
  </si>
  <si>
    <t>Fund 32
Func 4*
Obj 450</t>
  </si>
  <si>
    <t>Fund 32
Func 4*
Obj 720</t>
  </si>
  <si>
    <t>Fund 32
Func 4*
Obj 710</t>
  </si>
  <si>
    <t>General Fund Total Expendutures</t>
  </si>
  <si>
    <t>Required  Basic</t>
  </si>
  <si>
    <t>Phase</t>
  </si>
  <si>
    <t>LEA Name</t>
  </si>
  <si>
    <t>Type</t>
  </si>
  <si>
    <t>FY22ADM - SPED Resource</t>
  </si>
  <si>
    <t>FY22ADM - SPED Self-Contained</t>
  </si>
  <si>
    <t>Oct 1, 2022 - K</t>
  </si>
  <si>
    <t>Oct 1, 2022 - Grades 1-6</t>
  </si>
  <si>
    <t>Oct 1, 2022 - Grades 7-8</t>
  </si>
  <si>
    <t>Oct 1, 2022 - Grades 9-12</t>
  </si>
  <si>
    <t>Oct 1, 2022 - Grades K-12</t>
  </si>
  <si>
    <t>Oct 1, 2022 - Grades 1-12</t>
  </si>
  <si>
    <t>Oct 1, 2022 - Grades K-8</t>
  </si>
  <si>
    <t>Oct 1, 2022 - Self-Contained</t>
  </si>
  <si>
    <t>FY23 ADM - K</t>
  </si>
  <si>
    <t>FY23 ADM - Grade 1</t>
  </si>
  <si>
    <t>FY23 ADM - Grade 2</t>
  </si>
  <si>
    <t>FY23 ADM - Grade 3</t>
  </si>
  <si>
    <t>FY23 ADM - Grade 4</t>
  </si>
  <si>
    <t>FY23 ADM - Grade 5</t>
  </si>
  <si>
    <t>FY23 ADM - Grade 6</t>
  </si>
  <si>
    <t>FY23 ADM - Grade 7</t>
  </si>
  <si>
    <t>FY23 ADM - Grade 8</t>
  </si>
  <si>
    <t>FY23 ADM - Grade 9</t>
  </si>
  <si>
    <t>FY23 ADM - Grade 10</t>
  </si>
  <si>
    <t>FY23 ADM - Grade 11</t>
  </si>
  <si>
    <t>FY23 ADM - Grade 12</t>
  </si>
  <si>
    <t>FY23 ADM - Grades 1-6</t>
  </si>
  <si>
    <t>FY23 ADM - Grades 7-8</t>
  </si>
  <si>
    <t>FY23 ADM - Grades 9-12</t>
  </si>
  <si>
    <t>FY23 ADM - Grades K-8</t>
  </si>
  <si>
    <t>FY23 ADM - Grades 1-12</t>
  </si>
  <si>
    <t>FY23 ADM - Grades K-12</t>
  </si>
  <si>
    <t>Oct. 1, 2023 - K</t>
  </si>
  <si>
    <t>Oct. 1, 2023 - Grade 1</t>
  </si>
  <si>
    <t>Oct. 1, 2023 - Grade 2</t>
  </si>
  <si>
    <t>Oct. 1, 2023 - Grade 3</t>
  </si>
  <si>
    <t>Oct. 1, 2023 - Grade 4</t>
  </si>
  <si>
    <t>Oct. 1, 2023 - Grade 5</t>
  </si>
  <si>
    <t>Oct. 1, 2023 - Grade 6</t>
  </si>
  <si>
    <t>Oct. 1, 2023 - Grade 7</t>
  </si>
  <si>
    <t>Oct. 1, 2023 - Grade 8</t>
  </si>
  <si>
    <t>Oct. 1, 2023 - Grade 9</t>
  </si>
  <si>
    <t>Oct. 1, 2023 - Grade 10</t>
  </si>
  <si>
    <t>Oct. 1, 2023 - Grade 11</t>
  </si>
  <si>
    <t>Oct. 1, 2023 - Grade 12</t>
  </si>
  <si>
    <t>Oct. 1, 2023 - Grades 1-6</t>
  </si>
  <si>
    <t>Oct. 1, 2023 - Grades 7-8</t>
  </si>
  <si>
    <t>Oct. 1, 2023 - Grades 9-12</t>
  </si>
  <si>
    <t>Oct. 1, 2023 - Grades K-8</t>
  </si>
  <si>
    <t>Oct. 1, 2023 - Grades 1-12</t>
  </si>
  <si>
    <t>Oct. 1, 2023 - Grades K-12</t>
  </si>
  <si>
    <t>Oct. 1, 2023 - FDK Counts</t>
  </si>
  <si>
    <t>Oct. 1, 2023 - HDK Counts</t>
  </si>
  <si>
    <t>Oct. 1, 2023 - Foreign Exchange</t>
  </si>
  <si>
    <t>Oct. 1, 2023 - Econ. Disadv.</t>
  </si>
  <si>
    <t>Oct. 1, 2023 - SPED Resource</t>
  </si>
  <si>
    <t>Oct. 1, 2023 - SPED Self-Contained</t>
  </si>
  <si>
    <t>Oct. 1, 2023 - Total SPED</t>
  </si>
  <si>
    <t>Oct. 1, 2023 - LEP</t>
  </si>
  <si>
    <t>Prostaff Ratios</t>
  </si>
  <si>
    <t xml:space="preserve">Oct 1 2020 Counts - Online Students &gt;180 Days </t>
  </si>
  <si>
    <t>Oct 1 2023 Counts - Online Students &gt;180 Days in FY2023/Still Online on Oct 1</t>
  </si>
  <si>
    <t xml:space="preserve">FY23 ADM - Online Students &gt;180 Days </t>
  </si>
  <si>
    <t>Alpine School District</t>
  </si>
  <si>
    <t>Beaver Co School District</t>
  </si>
  <si>
    <t>Box Elder Co School District</t>
  </si>
  <si>
    <t>Cache Co School District</t>
  </si>
  <si>
    <t>050</t>
  </si>
  <si>
    <t>Carbon Co School District</t>
  </si>
  <si>
    <t>060</t>
  </si>
  <si>
    <t>Daggett Co School District</t>
  </si>
  <si>
    <t>070</t>
  </si>
  <si>
    <t>Davis Co School District</t>
  </si>
  <si>
    <t>080</t>
  </si>
  <si>
    <t>Duchesne Co School District</t>
  </si>
  <si>
    <t>090</t>
  </si>
  <si>
    <t>Emery School District</t>
  </si>
  <si>
    <t>100</t>
  </si>
  <si>
    <t>Garfield Co School District</t>
  </si>
  <si>
    <t>110</t>
  </si>
  <si>
    <t>Grand Co School District</t>
  </si>
  <si>
    <t>120</t>
  </si>
  <si>
    <t>Granite School District</t>
  </si>
  <si>
    <t>130</t>
  </si>
  <si>
    <t>Iron Co School District</t>
  </si>
  <si>
    <t>140</t>
  </si>
  <si>
    <t>Jordan School District</t>
  </si>
  <si>
    <t>150</t>
  </si>
  <si>
    <t>Juab School District</t>
  </si>
  <si>
    <t>160</t>
  </si>
  <si>
    <t>Kane Co School District</t>
  </si>
  <si>
    <t>170</t>
  </si>
  <si>
    <t>Millard School District</t>
  </si>
  <si>
    <t>180</t>
  </si>
  <si>
    <t>Morgan School District</t>
  </si>
  <si>
    <t>190</t>
  </si>
  <si>
    <t>Nebo School District</t>
  </si>
  <si>
    <t>200</t>
  </si>
  <si>
    <t>North Sanpete School District</t>
  </si>
  <si>
    <t>210</t>
  </si>
  <si>
    <t>North Summit School District</t>
  </si>
  <si>
    <t>220</t>
  </si>
  <si>
    <t>Park City School District</t>
  </si>
  <si>
    <t>230</t>
  </si>
  <si>
    <t>Piute School District</t>
  </si>
  <si>
    <t>240</t>
  </si>
  <si>
    <t>Rich School District</t>
  </si>
  <si>
    <t>250</t>
  </si>
  <si>
    <t>San Juan School District</t>
  </si>
  <si>
    <t>260</t>
  </si>
  <si>
    <t>Sevier School District</t>
  </si>
  <si>
    <t>270</t>
  </si>
  <si>
    <t>South Sanpete School District</t>
  </si>
  <si>
    <t>280</t>
  </si>
  <si>
    <t>South Summit School District</t>
  </si>
  <si>
    <t>290</t>
  </si>
  <si>
    <t>Tintic School District</t>
  </si>
  <si>
    <t>300</t>
  </si>
  <si>
    <t>Tooele School District</t>
  </si>
  <si>
    <t>310</t>
  </si>
  <si>
    <t>Uintah School District</t>
  </si>
  <si>
    <t>320</t>
  </si>
  <si>
    <t>Wasatch School District</t>
  </si>
  <si>
    <t>330</t>
  </si>
  <si>
    <t>Washington Co School Dist</t>
  </si>
  <si>
    <t>340</t>
  </si>
  <si>
    <t>Wayne School District</t>
  </si>
  <si>
    <t>350</t>
  </si>
  <si>
    <t>Weber Co School District</t>
  </si>
  <si>
    <t>360</t>
  </si>
  <si>
    <t>SLC School District</t>
  </si>
  <si>
    <t>370</t>
  </si>
  <si>
    <t>Ogden City School District</t>
  </si>
  <si>
    <t>380</t>
  </si>
  <si>
    <t>Provo School District</t>
  </si>
  <si>
    <t>390</t>
  </si>
  <si>
    <t>Logan City School District</t>
  </si>
  <si>
    <t>400</t>
  </si>
  <si>
    <t>Murray School District</t>
  </si>
  <si>
    <t>Utah Schools for the Deaf and Blind</t>
  </si>
  <si>
    <t>Other</t>
  </si>
  <si>
    <t>420</t>
  </si>
  <si>
    <t>Canyons School District</t>
  </si>
  <si>
    <t>680</t>
  </si>
  <si>
    <t>Ogden Preparatory Academy</t>
  </si>
  <si>
    <t>Sevier School District (CUES)</t>
  </si>
  <si>
    <t>Wasatch School District (NUES)</t>
  </si>
  <si>
    <t>Carbon Co School District (SESC)</t>
  </si>
  <si>
    <t>Iron Co School District (SEDC)</t>
  </si>
  <si>
    <t>740</t>
  </si>
  <si>
    <t>American Preparatory (Utah Charter Academies Inc)</t>
  </si>
  <si>
    <t>810</t>
  </si>
  <si>
    <t>Walden School</t>
  </si>
  <si>
    <t>820</t>
  </si>
  <si>
    <t>Freedom Academy</t>
  </si>
  <si>
    <t>830</t>
  </si>
  <si>
    <t>AMES</t>
  </si>
  <si>
    <t>860</t>
  </si>
  <si>
    <t>Pinnacle Canyon Academy</t>
  </si>
  <si>
    <t>870</t>
  </si>
  <si>
    <t>City Academy</t>
  </si>
  <si>
    <t>890</t>
  </si>
  <si>
    <t>Soldier Hollow Charter School</t>
  </si>
  <si>
    <t>910</t>
  </si>
  <si>
    <t>Utah Arts Academy</t>
  </si>
  <si>
    <t>920</t>
  </si>
  <si>
    <t>Uintah River High School</t>
  </si>
  <si>
    <t>930</t>
  </si>
  <si>
    <t>John Hancock Charter School Foundation</t>
  </si>
  <si>
    <t>940</t>
  </si>
  <si>
    <t>Thomas Edison Charter School</t>
  </si>
  <si>
    <t>950</t>
  </si>
  <si>
    <t>Timpanogos Academy</t>
  </si>
  <si>
    <t>970</t>
  </si>
  <si>
    <t>Salt Lake Arts Academy</t>
  </si>
  <si>
    <t>980</t>
  </si>
  <si>
    <t>Fast Forward Charter High School</t>
  </si>
  <si>
    <t>1B</t>
  </si>
  <si>
    <t>1B0</t>
  </si>
  <si>
    <t>Utah County Academy of Sciences</t>
  </si>
  <si>
    <t>1C</t>
  </si>
  <si>
    <t>1C0</t>
  </si>
  <si>
    <t>Odyssey Charter School</t>
  </si>
  <si>
    <t>1D</t>
  </si>
  <si>
    <t>1D0</t>
  </si>
  <si>
    <t>Renaissance Academy</t>
  </si>
  <si>
    <t>1E</t>
  </si>
  <si>
    <t>1E0</t>
  </si>
  <si>
    <t>Guadalupe School Salt Lake City School Dist</t>
  </si>
  <si>
    <t>1F</t>
  </si>
  <si>
    <t>1F0</t>
  </si>
  <si>
    <t>Quest Academy</t>
  </si>
  <si>
    <t>1G</t>
  </si>
  <si>
    <t>1G0</t>
  </si>
  <si>
    <t>Jefferson Academy</t>
  </si>
  <si>
    <t>1I</t>
  </si>
  <si>
    <t>1I0</t>
  </si>
  <si>
    <t>Utah International Charter School</t>
  </si>
  <si>
    <t>1K</t>
  </si>
  <si>
    <t>1K0</t>
  </si>
  <si>
    <t>Vanguard Academy Inc</t>
  </si>
  <si>
    <t>1L</t>
  </si>
  <si>
    <t>1L0</t>
  </si>
  <si>
    <t>Athlos Academies</t>
  </si>
  <si>
    <t>1M</t>
  </si>
  <si>
    <t>1M0</t>
  </si>
  <si>
    <t>Advantage Arts Academy</t>
  </si>
  <si>
    <t>2B</t>
  </si>
  <si>
    <t>2B0</t>
  </si>
  <si>
    <t>Lincoln Academy Incorporated</t>
  </si>
  <si>
    <t>2C</t>
  </si>
  <si>
    <t>2C0</t>
  </si>
  <si>
    <t>Intech Collegiate Academy</t>
  </si>
  <si>
    <t>2D</t>
  </si>
  <si>
    <t>2D0</t>
  </si>
  <si>
    <t>Channing Hall</t>
  </si>
  <si>
    <t>2E</t>
  </si>
  <si>
    <t>2E0</t>
  </si>
  <si>
    <t>Karl G. Maeser Preparatory Academy Foundation</t>
  </si>
  <si>
    <t>2F</t>
  </si>
  <si>
    <t>2F0</t>
  </si>
  <si>
    <t>Rockwell Charter High School</t>
  </si>
  <si>
    <t>2G</t>
  </si>
  <si>
    <t>2G0</t>
  </si>
  <si>
    <t>Vista At Entrada Inc</t>
  </si>
  <si>
    <t>2H</t>
  </si>
  <si>
    <t>2H0</t>
  </si>
  <si>
    <t>Utah Connections Academy</t>
  </si>
  <si>
    <t>2I</t>
  </si>
  <si>
    <t>2I0</t>
  </si>
  <si>
    <t>Esperanza Elementary (Generacion Floreciente)</t>
  </si>
  <si>
    <t>2J</t>
  </si>
  <si>
    <t>2J0</t>
  </si>
  <si>
    <t>Ascent Academies of Utah</t>
  </si>
  <si>
    <t>2K</t>
  </si>
  <si>
    <t>2K0</t>
  </si>
  <si>
    <t>Utah Military Academy</t>
  </si>
  <si>
    <t>2L</t>
  </si>
  <si>
    <t>2L0</t>
  </si>
  <si>
    <t>Center For Creativity Innovation And Dicovery</t>
  </si>
  <si>
    <t>3B</t>
  </si>
  <si>
    <t>3B0</t>
  </si>
  <si>
    <t>Beehive Science and Technology Academy</t>
  </si>
  <si>
    <t>3C</t>
  </si>
  <si>
    <t>3C0</t>
  </si>
  <si>
    <t>Entheos Academy</t>
  </si>
  <si>
    <t>3D</t>
  </si>
  <si>
    <t>3D0</t>
  </si>
  <si>
    <t>Spectrum Academy</t>
  </si>
  <si>
    <t>3E</t>
  </si>
  <si>
    <t>3E0</t>
  </si>
  <si>
    <t>C.S. Lewis Academy</t>
  </si>
  <si>
    <t>3F</t>
  </si>
  <si>
    <t>3F0</t>
  </si>
  <si>
    <t>Venture Academy</t>
  </si>
  <si>
    <t>3G</t>
  </si>
  <si>
    <t>3G0</t>
  </si>
  <si>
    <t>Bear River Charter School</t>
  </si>
  <si>
    <t>3H</t>
  </si>
  <si>
    <t>3H0</t>
  </si>
  <si>
    <t>Endeavor Hall</t>
  </si>
  <si>
    <t>3I</t>
  </si>
  <si>
    <t>3I0</t>
  </si>
  <si>
    <t>Leadership Learning Academy</t>
  </si>
  <si>
    <t>3J</t>
  </si>
  <si>
    <t>3J0</t>
  </si>
  <si>
    <t>Dixie Montessori Academy</t>
  </si>
  <si>
    <t>3K</t>
  </si>
  <si>
    <t>3K0</t>
  </si>
  <si>
    <t>Roots Charter High School</t>
  </si>
  <si>
    <t>3L</t>
  </si>
  <si>
    <t>3L0</t>
  </si>
  <si>
    <t>Leadership Academy of Utah</t>
  </si>
  <si>
    <t>3M</t>
  </si>
  <si>
    <t>3M0</t>
  </si>
  <si>
    <t>Bridge Elementary</t>
  </si>
  <si>
    <t>4B</t>
  </si>
  <si>
    <t>4B0</t>
  </si>
  <si>
    <t>Wasatch Peak Academy</t>
  </si>
  <si>
    <t>4C</t>
  </si>
  <si>
    <t>4C0</t>
  </si>
  <si>
    <t>Lakeview Academy</t>
  </si>
  <si>
    <t>4D</t>
  </si>
  <si>
    <t>4D0</t>
  </si>
  <si>
    <t>Syracuse Arts Academy Inc</t>
  </si>
  <si>
    <t>4E</t>
  </si>
  <si>
    <t>4E0</t>
  </si>
  <si>
    <t>Dual Immersion Academy</t>
  </si>
  <si>
    <t>4F</t>
  </si>
  <si>
    <t>4F0</t>
  </si>
  <si>
    <t>SL Center For Science Education</t>
  </si>
  <si>
    <t>4G</t>
  </si>
  <si>
    <t>4G0</t>
  </si>
  <si>
    <t>Maria Montessori Academy</t>
  </si>
  <si>
    <t>4I</t>
  </si>
  <si>
    <t>4I0</t>
  </si>
  <si>
    <t>Mana Academy (Salt Lake Charter School)</t>
  </si>
  <si>
    <t>4K</t>
  </si>
  <si>
    <t>4K0</t>
  </si>
  <si>
    <t>Athenian eAcademy</t>
  </si>
  <si>
    <t>4M</t>
  </si>
  <si>
    <t>4M0</t>
  </si>
  <si>
    <t>Mountain Sunrise Academy</t>
  </si>
  <si>
    <t>5B</t>
  </si>
  <si>
    <t>5B0</t>
  </si>
  <si>
    <t>North Star Academy</t>
  </si>
  <si>
    <t>5C</t>
  </si>
  <si>
    <t>5C0</t>
  </si>
  <si>
    <t>Legacy Preparatory Academy</t>
  </si>
  <si>
    <t>5D</t>
  </si>
  <si>
    <t>5D0</t>
  </si>
  <si>
    <t>George Washington Academy</t>
  </si>
  <si>
    <t>5E</t>
  </si>
  <si>
    <t>5E0</t>
  </si>
  <si>
    <t>USU Edith Bowen Lab School</t>
  </si>
  <si>
    <t>5F</t>
  </si>
  <si>
    <t>5F0</t>
  </si>
  <si>
    <t>Utah Virtual Academy</t>
  </si>
  <si>
    <t>5G</t>
  </si>
  <si>
    <t>5G0</t>
  </si>
  <si>
    <t>Canyon Grove (Quail Run Primary School Foundation)</t>
  </si>
  <si>
    <t>5H</t>
  </si>
  <si>
    <t>5H0</t>
  </si>
  <si>
    <t>Highmark Charter School</t>
  </si>
  <si>
    <t>5I</t>
  </si>
  <si>
    <t>5I0</t>
  </si>
  <si>
    <t>Voyage Academy</t>
  </si>
  <si>
    <t>5J</t>
  </si>
  <si>
    <t>5J0</t>
  </si>
  <si>
    <t>Mountain West Montessori Academy</t>
  </si>
  <si>
    <t>5K</t>
  </si>
  <si>
    <t>5K0</t>
  </si>
  <si>
    <t>Wasatch Waldorf Charter School</t>
  </si>
  <si>
    <t>5L</t>
  </si>
  <si>
    <t>5L0</t>
  </si>
  <si>
    <t>Ignite Entrepreneurship Academy</t>
  </si>
  <si>
    <t>6D</t>
  </si>
  <si>
    <t>6D0</t>
  </si>
  <si>
    <t>Noah Webster Academy Inc</t>
  </si>
  <si>
    <t>6F</t>
  </si>
  <si>
    <t>6F0</t>
  </si>
  <si>
    <t>Early Light Academy</t>
  </si>
  <si>
    <t>6G</t>
  </si>
  <si>
    <t>6G0</t>
  </si>
  <si>
    <t>Weilenmann School of Discovery, Inc</t>
  </si>
  <si>
    <t>6H</t>
  </si>
  <si>
    <t>6H0</t>
  </si>
  <si>
    <t>Promontory School of Expeditionary Learning</t>
  </si>
  <si>
    <t>6J</t>
  </si>
  <si>
    <t>6J0</t>
  </si>
  <si>
    <t>Scholar Academy</t>
  </si>
  <si>
    <t>6K</t>
  </si>
  <si>
    <t>6K0</t>
  </si>
  <si>
    <t>Franklin Discovery Academy Vineyard</t>
  </si>
  <si>
    <t>6L</t>
  </si>
  <si>
    <t>6L0</t>
  </si>
  <si>
    <t>Bonneville Academy</t>
  </si>
  <si>
    <t>7B</t>
  </si>
  <si>
    <t>7B0</t>
  </si>
  <si>
    <t>Ronald Wilson Reagan Academy</t>
  </si>
  <si>
    <t>7C</t>
  </si>
  <si>
    <t>7C0</t>
  </si>
  <si>
    <t>Monticello Academy Inc</t>
  </si>
  <si>
    <t>7D</t>
  </si>
  <si>
    <t>7D0</t>
  </si>
  <si>
    <t>Salt Lake School For Performing Arts</t>
  </si>
  <si>
    <t>7E</t>
  </si>
  <si>
    <t>7E0</t>
  </si>
  <si>
    <t>Gateway Preparatory Academy</t>
  </si>
  <si>
    <t>7F</t>
  </si>
  <si>
    <t>7F0</t>
  </si>
  <si>
    <t>Excelsior Academy</t>
  </si>
  <si>
    <t>7G</t>
  </si>
  <si>
    <t>7G0</t>
  </si>
  <si>
    <t>Summit Academy High School</t>
  </si>
  <si>
    <t>7H</t>
  </si>
  <si>
    <t>7H0</t>
  </si>
  <si>
    <t>Pacific Heritage Academy</t>
  </si>
  <si>
    <t>7I</t>
  </si>
  <si>
    <t>7I0</t>
  </si>
  <si>
    <t>Weber State University Charter Academy</t>
  </si>
  <si>
    <t>7J</t>
  </si>
  <si>
    <t>7J0</t>
  </si>
  <si>
    <t>Greenwood Charter School</t>
  </si>
  <si>
    <t>7K</t>
  </si>
  <si>
    <t>7K0</t>
  </si>
  <si>
    <t>Wallace Stegner Academy</t>
  </si>
  <si>
    <t>7L</t>
  </si>
  <si>
    <t>7L0</t>
  </si>
  <si>
    <t>Treeside Charter School</t>
  </si>
  <si>
    <t>7M</t>
  </si>
  <si>
    <t>7M0</t>
  </si>
  <si>
    <t>Career Academy of Utah</t>
  </si>
  <si>
    <t>8B</t>
  </si>
  <si>
    <t>8B0</t>
  </si>
  <si>
    <t>American Leadership Academy</t>
  </si>
  <si>
    <t>8C</t>
  </si>
  <si>
    <t>8C0</t>
  </si>
  <si>
    <t>Mountainville Academy</t>
  </si>
  <si>
    <t>8D</t>
  </si>
  <si>
    <t>8D0</t>
  </si>
  <si>
    <t>Open Classroom Charter School</t>
  </si>
  <si>
    <t>8E</t>
  </si>
  <si>
    <t>8E0</t>
  </si>
  <si>
    <t>Merit Preparatory Academy</t>
  </si>
  <si>
    <t>8F</t>
  </si>
  <si>
    <t>8F0</t>
  </si>
  <si>
    <t>Hawthorn Academy</t>
  </si>
  <si>
    <t>8G</t>
  </si>
  <si>
    <t>8G0</t>
  </si>
  <si>
    <t>Good Foundations Academy Charter School</t>
  </si>
  <si>
    <t>8H</t>
  </si>
  <si>
    <t>8H0</t>
  </si>
  <si>
    <t>Valley Arts Academy, Inc</t>
  </si>
  <si>
    <t>8I</t>
  </si>
  <si>
    <t>8I0</t>
  </si>
  <si>
    <t>The Winter Sports School In Park City</t>
  </si>
  <si>
    <t>8J</t>
  </si>
  <si>
    <t>8J0</t>
  </si>
  <si>
    <t>Terra Academy</t>
  </si>
  <si>
    <t>8K</t>
  </si>
  <si>
    <t>8K0</t>
  </si>
  <si>
    <t>American Academy of Innovation</t>
  </si>
  <si>
    <t>8L</t>
  </si>
  <si>
    <t>8L0</t>
  </si>
  <si>
    <t>8M</t>
  </si>
  <si>
    <t>8M0</t>
  </si>
  <si>
    <t>Elevated Charter School</t>
  </si>
  <si>
    <t>9B</t>
  </si>
  <si>
    <t>9B0</t>
  </si>
  <si>
    <t>Navigator Pointe Academy</t>
  </si>
  <si>
    <t>9C</t>
  </si>
  <si>
    <t>9C0</t>
  </si>
  <si>
    <t>Paradigm High School</t>
  </si>
  <si>
    <t>9D</t>
  </si>
  <si>
    <t>9D0</t>
  </si>
  <si>
    <t>Canyon Rim Academy</t>
  </si>
  <si>
    <t>9E</t>
  </si>
  <si>
    <t>9E0</t>
  </si>
  <si>
    <t>Providence Hall</t>
  </si>
  <si>
    <t>9F</t>
  </si>
  <si>
    <t>9F0</t>
  </si>
  <si>
    <t>Mountain Heights Academy</t>
  </si>
  <si>
    <t>9I</t>
  </si>
  <si>
    <t>9I0</t>
  </si>
  <si>
    <t>Utah Career Path High</t>
  </si>
  <si>
    <t>9J</t>
  </si>
  <si>
    <t>9J0</t>
  </si>
  <si>
    <t>Lumen Scholar Institute</t>
  </si>
  <si>
    <t>9K</t>
  </si>
  <si>
    <t>9K0</t>
  </si>
  <si>
    <t>St George Academy</t>
  </si>
  <si>
    <t>9M</t>
  </si>
  <si>
    <t>9M0</t>
  </si>
  <si>
    <t>American Principles Academy</t>
  </si>
  <si>
    <t>A1</t>
  </si>
  <si>
    <t>A10</t>
  </si>
  <si>
    <t>Northern Utah Academy For Math Engineering and Science</t>
  </si>
  <si>
    <t>A2</t>
  </si>
  <si>
    <t>A20</t>
  </si>
  <si>
    <t>The Ranches Academy Inc</t>
  </si>
  <si>
    <t>A3</t>
  </si>
  <si>
    <t>A30</t>
  </si>
  <si>
    <t>Davinci Academy of Science and The Arts</t>
  </si>
  <si>
    <t>A4</t>
  </si>
  <si>
    <t>A40</t>
  </si>
  <si>
    <t>Summit Academy Incorporated</t>
  </si>
  <si>
    <t>A5</t>
  </si>
  <si>
    <t>A50</t>
  </si>
  <si>
    <t>Itineris Early College High School</t>
  </si>
  <si>
    <t>A6</t>
  </si>
  <si>
    <t>A60</t>
  </si>
  <si>
    <t>North Davis Preparatory Academy</t>
  </si>
  <si>
    <t>A7</t>
  </si>
  <si>
    <t>A70</t>
  </si>
  <si>
    <t>Moab Charter School</t>
  </si>
  <si>
    <t>A8</t>
  </si>
  <si>
    <t>A80</t>
  </si>
  <si>
    <t>East Hollywood High School Inc</t>
  </si>
  <si>
    <t>A9</t>
  </si>
  <si>
    <t>A90</t>
  </si>
  <si>
    <t>Success Academy</t>
  </si>
  <si>
    <t xml:space="preserve"> November 2024</t>
  </si>
  <si>
    <t>In Operation in FY25?</t>
  </si>
  <si>
    <t>In Operation in FY26?</t>
  </si>
  <si>
    <t>ESA - All - FY24</t>
  </si>
  <si>
    <t>ESA - Educators Only - FY24</t>
  </si>
  <si>
    <t>TSM FTE - FY24</t>
  </si>
  <si>
    <t>Educ. Prof. Hrs. FTE - FY24</t>
  </si>
  <si>
    <t>FY24 ADM - Half Day K</t>
  </si>
  <si>
    <t>FY24 ADM - Full Day K</t>
  </si>
  <si>
    <t>FY24 ADM - Total K</t>
  </si>
  <si>
    <t>FY24 ADM - Grade 1</t>
  </si>
  <si>
    <t>FY24 ADM - Grade 2</t>
  </si>
  <si>
    <t>FY24 ADM - Grade 3</t>
  </si>
  <si>
    <t>FY24 ADM - Grade 4</t>
  </si>
  <si>
    <t>FY24 ADM - Grade 5</t>
  </si>
  <si>
    <t>FY24 ADM - Grade 6</t>
  </si>
  <si>
    <t>FY24 ADM - Grade 7</t>
  </si>
  <si>
    <t>FY24 ADM - Grade 8</t>
  </si>
  <si>
    <t>FY24 ADM - Grade 9</t>
  </si>
  <si>
    <t>FY24 ADM - Grade 10</t>
  </si>
  <si>
    <t>FY24 ADM - Grade 11</t>
  </si>
  <si>
    <t>FY24 ADM - Grade 12</t>
  </si>
  <si>
    <t>FY24 ADM - Grades 1-6</t>
  </si>
  <si>
    <t>FY24 ADM - Grades 7-8</t>
  </si>
  <si>
    <t>FY24 ADM - Grades 9-12</t>
  </si>
  <si>
    <t>FY24 ADM - Grades K-8</t>
  </si>
  <si>
    <t>FY24 ADM - Grades 1-12</t>
  </si>
  <si>
    <t>FY24 ADM - Grades K-12</t>
  </si>
  <si>
    <t>FY24 ADM - SPED Resource</t>
  </si>
  <si>
    <t>FY24 ADM - SPED Self-Contained</t>
  </si>
  <si>
    <t>FY24 ADM - Total SPED</t>
  </si>
  <si>
    <t>FY24 ADM - Online Students - Online All 180 Days</t>
  </si>
  <si>
    <t>Oct. 1, 2024 - FDK</t>
  </si>
  <si>
    <t>Oct. 1, 2024 - HDK</t>
  </si>
  <si>
    <t>Oct. 1, 2024 - Total K</t>
  </si>
  <si>
    <t>Oct. 1, 2024 - Grade 1</t>
  </si>
  <si>
    <t>Oct. 1, 2024 - Grade 2</t>
  </si>
  <si>
    <t>Oct. 1, 2024 - Grade 3</t>
  </si>
  <si>
    <t>Oct. 1, 2024 - Grade 4</t>
  </si>
  <si>
    <t>Oct. 1, 2024 - Grade 5</t>
  </si>
  <si>
    <t>Oct. 1, 2024 - Grade 6</t>
  </si>
  <si>
    <t>Oct. 1, 2024 - Grade 7</t>
  </si>
  <si>
    <t>Oct. 1, 2024 - Grade 8</t>
  </si>
  <si>
    <t>Oct. 1, 2024 - Grade 9</t>
  </si>
  <si>
    <t>Oct. 1, 2024 - Grade 10</t>
  </si>
  <si>
    <t>Oct. 1, 2024 - Grade 11</t>
  </si>
  <si>
    <t>Oct. 1, 2024 - Grade 12</t>
  </si>
  <si>
    <t>Oct. 1, 2024 - Grades 1-6</t>
  </si>
  <si>
    <t>Oct. 1, 2024 - Grades 7-8</t>
  </si>
  <si>
    <t>Oct. 1, 2024 - Grades 9-12</t>
  </si>
  <si>
    <t>Oct. 1, 2024 - Grades K-8</t>
  </si>
  <si>
    <t>Oct. 1, 2024 - Grades 1-12</t>
  </si>
  <si>
    <t>Oct. 1, 2024 - Grades K-12</t>
  </si>
  <si>
    <t>Oct. 1, 2024 - Foreign Exchange</t>
  </si>
  <si>
    <t>Oct. 1, 2024 - Econ. Disadv.</t>
  </si>
  <si>
    <t>Oct. 1, 2024 - SPED Resource</t>
  </si>
  <si>
    <t>Oct. 1, 2024 - SPED Self-Contained</t>
  </si>
  <si>
    <t>Oct. 1, 2024 - Total SPED</t>
  </si>
  <si>
    <t>Oct. 1, 2024 - LEP</t>
  </si>
  <si>
    <t>ESA - All - FY25</t>
  </si>
  <si>
    <t>ESA - Educators Only - FY25</t>
  </si>
  <si>
    <t>TSM FTE - Elementary - FY25</t>
  </si>
  <si>
    <t>TSM FTE - Secondary - FY25</t>
  </si>
  <si>
    <t>TSM FTE - Reg. Pre-K - FY25</t>
  </si>
  <si>
    <t>Educ. Prof. Hrs. FTE - FY25</t>
  </si>
  <si>
    <t>ProStaff Ratios - FY24 YE</t>
  </si>
  <si>
    <t>Oct 1 2024 Counts - Online Students &gt;=180 Days in FY2024/Still Online on Oct 1</t>
  </si>
  <si>
    <t>Oct 1, 2025 (CDC) - K</t>
  </si>
  <si>
    <t>Oct 1, 2025 (CDC) - Grades 1-12</t>
  </si>
  <si>
    <t>Oct 1, 2025 (CDC) - Grades 1-6</t>
  </si>
  <si>
    <t>Oct 1, 2025 (CDC) - Grades 7-8</t>
  </si>
  <si>
    <t>Oct 1, 2025 (CDC) - Grades 9-12</t>
  </si>
  <si>
    <t>Oct 1, 2025 (CDC) - Grades K-12</t>
  </si>
  <si>
    <t>December 1, 2025 - SPED K-12</t>
  </si>
  <si>
    <t>December 1, 2025 - SPED PreK-12 - All Ages</t>
  </si>
  <si>
    <t>December 1, 2024 - SPED Resource</t>
  </si>
  <si>
    <t>December 1, 2024 - SPED Self-Contained</t>
  </si>
  <si>
    <t>FY24 ESY Count</t>
  </si>
  <si>
    <t>Yes</t>
  </si>
  <si>
    <t>No</t>
  </si>
  <si>
    <t>Salt Lake Academy High School</t>
  </si>
  <si>
    <t>1N</t>
  </si>
  <si>
    <t>1N0</t>
  </si>
  <si>
    <t>Virtual Horizons Charter School</t>
  </si>
  <si>
    <t>2N</t>
  </si>
  <si>
    <t>2N0</t>
  </si>
  <si>
    <t>Thrive Point Academy</t>
  </si>
  <si>
    <t>All LEAs</t>
  </si>
  <si>
    <t>Fund 32
Func 5*
Obj 83*
Not Used?</t>
  </si>
  <si>
    <t>Fund 32
Func 5*
Obj 84*
Not Used?</t>
  </si>
  <si>
    <t>FY 2026</t>
  </si>
  <si>
    <t>Tax Year 2025 - FY 2025-26</t>
  </si>
  <si>
    <t>TY2024-25</t>
  </si>
  <si>
    <t>In Operation in FY27</t>
  </si>
  <si>
    <t>FY22 ADM - Total SPED</t>
  </si>
  <si>
    <t>FY23 ADM - SPED Resource</t>
  </si>
  <si>
    <t>FY23 ADM - SPED Self-Contained</t>
  </si>
  <si>
    <t>FY23 ADM - Total SPED</t>
  </si>
  <si>
    <t>FY23 ADM - K-12 + SC</t>
  </si>
  <si>
    <t>FY24 ADM - K-12 + SC</t>
  </si>
  <si>
    <t>Oct. 1, 2024 - K12+SC</t>
  </si>
  <si>
    <t>December 1, 2024 - SPED Pre-K 3-5 Count</t>
  </si>
  <si>
    <t>December 1, 2024 - SPED K-12</t>
  </si>
  <si>
    <t>December 1, 2024 - SPED PreK-12 - All Ages</t>
  </si>
  <si>
    <t>FY24 Classified FTE: Instructional Paraprofessionals</t>
  </si>
  <si>
    <t>FY24 Classified FTE: Library Paraprofessionals</t>
  </si>
  <si>
    <t>FY24 Classified FTE: School Support</t>
  </si>
  <si>
    <t>FY24 Classified FTE: Student Support</t>
  </si>
  <si>
    <t>FY24 Classified FTE: Other Support Staff</t>
  </si>
  <si>
    <t>FY24 Classified FTE: All Qualifying FTE</t>
  </si>
  <si>
    <t>FY25 ADM - Half Day K</t>
  </si>
  <si>
    <t>FY25 ADM - Full Day K</t>
  </si>
  <si>
    <t>FY25 ADM - Total K</t>
  </si>
  <si>
    <t>FY25 ADM - Grade 1</t>
  </si>
  <si>
    <t>FY25 ADM - Grade 2</t>
  </si>
  <si>
    <t>FY25 ADM - Grade 3</t>
  </si>
  <si>
    <t>FY25 ADM - Grade 4</t>
  </si>
  <si>
    <t>FY25 ADM - Grade 5</t>
  </si>
  <si>
    <t>FY25 ADM - Grade 6</t>
  </si>
  <si>
    <t>FY25 ADM - Grade 7</t>
  </si>
  <si>
    <t>FY25 ADM - Grade 8</t>
  </si>
  <si>
    <t>FY25 ADM - Grade 9</t>
  </si>
  <si>
    <t>FY25 ADM - Grade 10</t>
  </si>
  <si>
    <t>FY25 ADM - Grade 11</t>
  </si>
  <si>
    <t>FY25 ADM - Grade 12</t>
  </si>
  <si>
    <t>FY25 ADM - Grades 1-6</t>
  </si>
  <si>
    <t>FY25 ADM - Grades 7-8</t>
  </si>
  <si>
    <t>FY25 ADM - Grades 9-12</t>
  </si>
  <si>
    <t>FY25 ADM - Grades K-8</t>
  </si>
  <si>
    <t>FY25 ADM - Grades 1-12</t>
  </si>
  <si>
    <t>FY25 ADM - Grades K-12</t>
  </si>
  <si>
    <t>FY25 ADM - SPED Resource</t>
  </si>
  <si>
    <t>FY25 ADM - SPED Self-Contained</t>
  </si>
  <si>
    <t>FY25 ADM - Total SPED</t>
  </si>
  <si>
    <t>FY25 ADM - K-12 + SC</t>
  </si>
  <si>
    <t>Oct. 1, 2025 - HDK</t>
  </si>
  <si>
    <t>Oct. 1, 2025 - FDK</t>
  </si>
  <si>
    <t>Oct. 1, 2025 - Total K</t>
  </si>
  <si>
    <t>Oct. 1, 2025 - Grade 1</t>
  </si>
  <si>
    <t>Oct. 1, 2025 - Grade 2</t>
  </si>
  <si>
    <t>Oct. 1, 2025 - Grade 3</t>
  </si>
  <si>
    <t>Oct. 1, 2025 - Grade 4</t>
  </si>
  <si>
    <t>Oct. 1, 2025 - Grade 5</t>
  </si>
  <si>
    <t>Oct. 1, 2025 - Grade 6</t>
  </si>
  <si>
    <t>Oct. 1, 2025 - Grade 7</t>
  </si>
  <si>
    <t>Oct. 1, 2025 - Grade 8</t>
  </si>
  <si>
    <t>Oct. 1, 2025 - Grade 9</t>
  </si>
  <si>
    <t>Oct. 1, 2025 - Grade 10</t>
  </si>
  <si>
    <t>Oct. 1, 2025 - Grade 11</t>
  </si>
  <si>
    <t>Oct. 1, 2025 - Grade 12</t>
  </si>
  <si>
    <t>Oct. 1, 2025 - Grades 1-6</t>
  </si>
  <si>
    <t>Oct. 1, 2025 - Grades 7-8</t>
  </si>
  <si>
    <t>Oct. 1, 2025 - Grades 9-12</t>
  </si>
  <si>
    <t>Oct. 1, 2025 - Grades K-8</t>
  </si>
  <si>
    <t>Oct. 1, 2025 - Grades 1-12</t>
  </si>
  <si>
    <t>Oct. 1, 2025 - Grades K-12</t>
  </si>
  <si>
    <t>Oct. 1, 2025 - Foreign Exchange</t>
  </si>
  <si>
    <t>Oct. 1, 2025 - Econ. Disadv.</t>
  </si>
  <si>
    <t>Oct. 1, 2025 - SPED Resource</t>
  </si>
  <si>
    <t>Oct. 1, 2025 - SPED Self-Contained</t>
  </si>
  <si>
    <t>Oct. 1, 2025 - Total SPED</t>
  </si>
  <si>
    <t>Oct. 1, 2025 - K-12 +SC</t>
  </si>
  <si>
    <t>Oct. 1, 2025 - LEP</t>
  </si>
  <si>
    <t>ESA - All - FY26</t>
  </si>
  <si>
    <t>ESA - Educators Only - FY26</t>
  </si>
  <si>
    <t>TSM FTE - Elementary - FY26</t>
  </si>
  <si>
    <t>TSM FTE - Secondary - FY26</t>
  </si>
  <si>
    <t>TSM FTE - Reg. Pre-K - FY26</t>
  </si>
  <si>
    <t>Educ. Prof. Hrs. FTE - FY26</t>
  </si>
  <si>
    <t>December 1, 2025 - SPED Pre-K 3-5 Total</t>
  </si>
  <si>
    <t>December 1, 2025 - SPED Resource</t>
  </si>
  <si>
    <t>December 1, 2025 - SPED Self-Contained</t>
  </si>
  <si>
    <t>FY25 ESY Count</t>
  </si>
  <si>
    <t>Oct 1, 2026 (CDC) - K</t>
  </si>
  <si>
    <t>Oct 1, 2026 (CDC) - Grades 1-12</t>
  </si>
  <si>
    <t>Oct 1, 2026 (CDC) - Grades 1-6</t>
  </si>
  <si>
    <t>Oct 1, 2026 (CDC) - Grades 7-8</t>
  </si>
  <si>
    <t>Oct 1, 2026 (CDC) - Grades 9-12</t>
  </si>
  <si>
    <t>Oct 1, 2026 (CDC) - Grades K-12</t>
  </si>
  <si>
    <t>Oct 1, 2026 (CDC) - Grades K-8</t>
  </si>
  <si>
    <t>FY25 ADM - Online Students - Online All 180 Days</t>
  </si>
  <si>
    <t>4N</t>
  </si>
  <si>
    <t>4N0</t>
  </si>
  <si>
    <t>Custom Class Charter School</t>
  </si>
  <si>
    <t>5N</t>
  </si>
  <si>
    <t>5N0</t>
  </si>
  <si>
    <t>Azure Fields Charter High School</t>
  </si>
  <si>
    <t>Check total with Data Warehouse</t>
  </si>
  <si>
    <t>9M data + 74 Data</t>
  </si>
  <si>
    <t>1L Athlos rolled into 8L Salt Lake Academy</t>
  </si>
  <si>
    <t>A7 rolled into 4K</t>
  </si>
  <si>
    <t>FY27 Endeavor Hall subsumed into Canyon Grove (3H to 5G)</t>
  </si>
  <si>
    <t>Combine DT 3.24 LEA data</t>
  </si>
  <si>
    <t>Correcting APA Data (74 +9M) from Data Warehouse</t>
  </si>
  <si>
    <t>K-12 +SC ADM-FY25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</si>
</sst>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000_);[Red]\(#,##0.000000\)"/>
    <numFmt numFmtId="165" formatCode="_(* #,##0_);_(* \(#,##0\);_(* &quot;-&quot;??_);_(@_)"/>
    <numFmt numFmtId="166" formatCode="General_)"/>
    <numFmt numFmtId="167" formatCode="#,##0.000000_______)"/>
    <numFmt numFmtId="168" formatCode="#,##0.000000____"/>
    <numFmt numFmtId="169" formatCode="#,##0.000000_____)"/>
    <numFmt numFmtId="170" formatCode="0.000000_)"/>
    <numFmt numFmtId="171" formatCode=";;;"/>
    <numFmt numFmtId="172" formatCode="0.000000"/>
    <numFmt numFmtId="173" formatCode="#,##0.000000"/>
    <numFmt numFmtId="174" formatCode="0.000000_);[Red]\(0.000000\)"/>
    <numFmt numFmtId="175" formatCode="0.0%"/>
    <numFmt numFmtId="176" formatCode="#,##0\ ;\(#,##0\)"/>
    <numFmt numFmtId="177" formatCode="_(&quot;$&quot;* #,##0_);_(&quot;$&quot;* \(#,##0\);_(&quot;$&quot;* &quot;-&quot;??_);_(@_)"/>
    <numFmt numFmtId="178" formatCode="_(* #,##0.00000_);_(* \(#,##0.00000\);_(* &quot;-&quot;??_);_(@_)"/>
    <numFmt numFmtId="179" formatCode="_(* #,##0.000000_);_(* \(#,##0.000000\);_(* &quot;-&quot;??_);_(@_)"/>
    <numFmt numFmtId="180" formatCode="_(* #,##0.0_);_(* \(#,##0.0\);_(* &quot;-&quot;??_);_(@_)"/>
    <numFmt numFmtId="181" formatCode="0.0"/>
  </numFmts>
  <fonts count="5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8"/>
      <color indexed="81"/>
      <name val="Tahom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color indexed="81"/>
      <name val="Tahoma"/>
      <family val="2"/>
    </font>
    <font>
      <sz val="10"/>
      <name val="Courier"/>
      <family val="3"/>
    </font>
    <font>
      <sz val="10"/>
      <name val="MS Sans Serif"/>
      <family val="2"/>
    </font>
    <font>
      <sz val="9"/>
      <name val="Helv"/>
    </font>
    <font>
      <u/>
      <sz val="10"/>
      <name val="Arial"/>
      <family val="2"/>
    </font>
    <font>
      <sz val="10"/>
      <name val="Prestige Elite"/>
    </font>
    <font>
      <sz val="10"/>
      <color indexed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ourier"/>
    </font>
    <font>
      <b/>
      <sz val="12"/>
      <name val="Arial"/>
      <family val="2"/>
    </font>
    <font>
      <sz val="14"/>
      <color theme="1"/>
      <name val="Arial"/>
      <family val="2"/>
    </font>
    <font>
      <b/>
      <sz val="14"/>
      <color rgb="FF0070C0"/>
      <name val="Arial"/>
      <family val="2"/>
    </font>
    <font>
      <sz val="14"/>
      <name val="Arial"/>
      <family val="2"/>
    </font>
    <font>
      <sz val="14"/>
      <color rgb="FF0070C0"/>
      <name val="Arial"/>
      <family val="2"/>
    </font>
    <font>
      <sz val="14"/>
      <color rgb="FFFF0000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slantDashDot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47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1" fillId="26" borderId="0" applyNumberFormat="0" applyBorder="0" applyAlignment="0" applyProtection="0"/>
    <xf numFmtId="0" fontId="22" fillId="27" borderId="12" applyNumberFormat="0" applyAlignment="0" applyProtection="0"/>
    <xf numFmtId="0" fontId="23" fillId="28" borderId="13" applyNumberFormat="0" applyAlignment="0" applyProtection="0"/>
    <xf numFmtId="38" fontId="13" fillId="0" borderId="0" applyFont="0" applyFill="0" applyBorder="0" applyAlignment="0" applyProtection="0"/>
    <xf numFmtId="40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0" fontId="13" fillId="0" borderId="0" applyFont="0" applyFill="0" applyBorder="0" applyAlignment="0" applyProtection="0"/>
    <xf numFmtId="43" fontId="18" fillId="0" borderId="0" applyFont="0" applyFill="0" applyBorder="0" applyAlignment="0" applyProtection="0"/>
    <xf numFmtId="40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38" fontId="14" fillId="0" borderId="0" applyFill="0" applyBorder="0" applyAlignment="0"/>
    <xf numFmtId="6" fontId="13" fillId="0" borderId="0" applyFont="0" applyFill="0" applyBorder="0" applyAlignment="0" applyProtection="0"/>
    <xf numFmtId="42" fontId="10" fillId="0" borderId="0" applyFont="0" applyFill="0" applyBorder="0" applyAlignment="0" applyProtection="0"/>
    <xf numFmtId="8" fontId="13" fillId="0" borderId="0" applyFont="0" applyFill="0" applyBorder="0" applyAlignment="0" applyProtection="0"/>
    <xf numFmtId="8" fontId="13" fillId="0" borderId="0" applyFont="0" applyFill="0" applyBorder="0" applyAlignment="0" applyProtection="0"/>
    <xf numFmtId="8" fontId="13" fillId="0" borderId="0" applyFont="0" applyFill="0" applyBorder="0" applyAlignment="0" applyProtection="0"/>
    <xf numFmtId="8" fontId="13" fillId="0" borderId="0" applyFont="0" applyFill="0" applyBorder="0" applyAlignment="0" applyProtection="0"/>
    <xf numFmtId="8" fontId="13" fillId="0" borderId="0" applyFont="0" applyFill="0" applyBorder="0" applyAlignment="0" applyProtection="0"/>
    <xf numFmtId="8" fontId="13" fillId="0" borderId="0" applyFont="0" applyFill="0" applyBorder="0" applyAlignment="0" applyProtection="0"/>
    <xf numFmtId="8" fontId="13" fillId="0" borderId="0" applyFont="0" applyFill="0" applyBorder="0" applyAlignment="0" applyProtection="0"/>
    <xf numFmtId="8" fontId="13" fillId="0" borderId="0" applyFont="0" applyFill="0" applyBorder="0" applyAlignment="0" applyProtection="0"/>
    <xf numFmtId="8" fontId="13" fillId="0" borderId="0" applyFont="0" applyFill="0" applyBorder="0" applyAlignment="0" applyProtection="0"/>
    <xf numFmtId="8" fontId="13" fillId="0" borderId="0" applyFont="0" applyFill="0" applyBorder="0" applyAlignment="0" applyProtection="0"/>
    <xf numFmtId="8" fontId="13" fillId="0" borderId="0" applyFont="0" applyFill="0" applyBorder="0" applyAlignment="0" applyProtection="0"/>
    <xf numFmtId="44" fontId="10" fillId="0" borderId="0" applyFont="0" applyFill="0" applyBorder="0" applyAlignment="0" applyProtection="0"/>
    <xf numFmtId="8" fontId="13" fillId="0" borderId="0" applyFont="0" applyFill="0" applyBorder="0" applyAlignment="0" applyProtection="0"/>
    <xf numFmtId="8" fontId="13" fillId="0" borderId="0" applyFont="0" applyFill="0" applyBorder="0" applyAlignment="0" applyProtection="0"/>
    <xf numFmtId="8" fontId="13" fillId="0" borderId="0" applyFont="0" applyFill="0" applyBorder="0" applyAlignment="0" applyProtection="0"/>
    <xf numFmtId="8" fontId="13" fillId="0" borderId="0" applyFont="0" applyFill="0" applyBorder="0" applyAlignment="0" applyProtection="0"/>
    <xf numFmtId="8" fontId="13" fillId="0" borderId="0" applyFont="0" applyFill="0" applyBorder="0" applyAlignment="0" applyProtection="0"/>
    <xf numFmtId="8" fontId="13" fillId="0" borderId="0" applyFont="0" applyFill="0" applyBorder="0" applyAlignment="0" applyProtection="0"/>
    <xf numFmtId="8" fontId="1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8" fillId="0" borderId="0" applyFont="0" applyFill="0" applyBorder="0" applyAlignment="0" applyProtection="0"/>
    <xf numFmtId="8" fontId="1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8" fontId="1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8" fontId="13" fillId="0" borderId="0" applyFont="0" applyFill="0" applyBorder="0" applyAlignment="0" applyProtection="0"/>
    <xf numFmtId="8" fontId="13" fillId="0" borderId="0" applyFont="0" applyFill="0" applyBorder="0" applyAlignment="0" applyProtection="0"/>
    <xf numFmtId="8" fontId="13" fillId="0" borderId="0" applyFont="0" applyFill="0" applyBorder="0" applyAlignment="0" applyProtection="0"/>
    <xf numFmtId="8" fontId="13" fillId="0" borderId="0" applyFont="0" applyFill="0" applyBorder="0" applyAlignment="0" applyProtection="0"/>
    <xf numFmtId="8" fontId="13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29" borderId="0" applyNumberFormat="0" applyBorder="0" applyAlignment="0" applyProtection="0"/>
    <xf numFmtId="0" fontId="26" fillId="0" borderId="14" applyNumberFormat="0" applyFill="0" applyAlignment="0" applyProtection="0"/>
    <xf numFmtId="0" fontId="27" fillId="0" borderId="15" applyNumberFormat="0" applyFill="0" applyAlignment="0" applyProtection="0"/>
    <xf numFmtId="0" fontId="28" fillId="0" borderId="16" applyNumberFormat="0" applyFill="0" applyAlignment="0" applyProtection="0"/>
    <xf numFmtId="0" fontId="2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9" fillId="30" borderId="12" applyNumberFormat="0" applyAlignment="0" applyProtection="0"/>
    <xf numFmtId="0" fontId="30" fillId="0" borderId="17" applyNumberFormat="0" applyFill="0" applyAlignment="0" applyProtection="0"/>
    <xf numFmtId="0" fontId="31" fillId="31" borderId="0" applyNumberFormat="0" applyBorder="0" applyAlignment="0" applyProtection="0"/>
    <xf numFmtId="166" fontId="12" fillId="0" borderId="0"/>
    <xf numFmtId="0" fontId="19" fillId="0" borderId="0"/>
    <xf numFmtId="0" fontId="10" fillId="0" borderId="0"/>
    <xf numFmtId="0" fontId="19" fillId="0" borderId="0"/>
    <xf numFmtId="0" fontId="10" fillId="0" borderId="0"/>
    <xf numFmtId="0" fontId="19" fillId="0" borderId="0"/>
    <xf numFmtId="0" fontId="16" fillId="0" borderId="0"/>
    <xf numFmtId="0" fontId="10" fillId="0" borderId="0"/>
    <xf numFmtId="0" fontId="10" fillId="0" borderId="0"/>
    <xf numFmtId="166" fontId="12" fillId="0" borderId="0"/>
    <xf numFmtId="166" fontId="12" fillId="0" borderId="0"/>
    <xf numFmtId="0" fontId="18" fillId="32" borderId="18" applyNumberFormat="0" applyFont="0" applyAlignment="0" applyProtection="0"/>
    <xf numFmtId="0" fontId="32" fillId="27" borderId="19" applyNumberFormat="0" applyAlignment="0" applyProtection="0"/>
    <xf numFmtId="9" fontId="13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20" applyNumberFormat="0" applyFill="0" applyAlignment="0" applyProtection="0"/>
    <xf numFmtId="0" fontId="35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166" fontId="36" fillId="0" borderId="0"/>
    <xf numFmtId="9" fontId="36" fillId="0" borderId="0" applyFont="0" applyFill="0" applyBorder="0" applyAlignment="0" applyProtection="0"/>
    <xf numFmtId="0" fontId="4" fillId="0" borderId="0"/>
    <xf numFmtId="42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2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2" fontId="2" fillId="0" borderId="0" applyFont="0" applyFill="0" applyBorder="0" applyAlignment="0" applyProtection="0"/>
    <xf numFmtId="0" fontId="2" fillId="0" borderId="0"/>
    <xf numFmtId="9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6">
    <xf numFmtId="0" fontId="0" fillId="0" borderId="0" xfId="0"/>
    <xf numFmtId="0" fontId="7" fillId="0" borderId="0" xfId="0" applyFont="1" applyAlignment="1">
      <alignment horizontal="centerContinuous"/>
    </xf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10" fillId="0" borderId="0" xfId="0" applyFont="1"/>
    <xf numFmtId="0" fontId="7" fillId="0" borderId="0" xfId="0" applyFont="1"/>
    <xf numFmtId="0" fontId="10" fillId="0" borderId="0" xfId="0" applyFont="1" applyAlignment="1">
      <alignment horizontal="centerContinuous"/>
    </xf>
    <xf numFmtId="39" fontId="10" fillId="0" borderId="0" xfId="0" applyNumberFormat="1" applyFont="1"/>
    <xf numFmtId="38" fontId="10" fillId="0" borderId="0" xfId="0" applyNumberFormat="1" applyFont="1"/>
    <xf numFmtId="38" fontId="10" fillId="0" borderId="2" xfId="0" applyNumberFormat="1" applyFont="1" applyBorder="1"/>
    <xf numFmtId="40" fontId="10" fillId="0" borderId="2" xfId="0" applyNumberFormat="1" applyFont="1" applyBorder="1"/>
    <xf numFmtId="14" fontId="10" fillId="0" borderId="0" xfId="0" applyNumberFormat="1" applyFont="1"/>
    <xf numFmtId="0" fontId="7" fillId="0" borderId="1" xfId="0" applyFont="1" applyBorder="1"/>
    <xf numFmtId="0" fontId="10" fillId="0" borderId="1" xfId="0" applyFont="1" applyBorder="1"/>
    <xf numFmtId="0" fontId="15" fillId="0" borderId="0" xfId="0" applyFont="1"/>
    <xf numFmtId="0" fontId="10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38" fontId="10" fillId="0" borderId="10" xfId="0" applyNumberFormat="1" applyFont="1" applyBorder="1"/>
    <xf numFmtId="17" fontId="10" fillId="0" borderId="2" xfId="0" applyNumberFormat="1" applyFont="1" applyBorder="1" applyAlignment="1">
      <alignment horizontal="center"/>
    </xf>
    <xf numFmtId="40" fontId="10" fillId="0" borderId="9" xfId="0" applyNumberFormat="1" applyFont="1" applyBorder="1"/>
    <xf numFmtId="0" fontId="37" fillId="0" borderId="0" xfId="0" applyFont="1"/>
    <xf numFmtId="0" fontId="9" fillId="0" borderId="0" xfId="88" applyAlignment="1" applyProtection="1"/>
    <xf numFmtId="39" fontId="17" fillId="0" borderId="0" xfId="0" applyNumberFormat="1" applyFont="1"/>
    <xf numFmtId="176" fontId="43" fillId="0" borderId="0" xfId="98" applyNumberFormat="1" applyFont="1"/>
    <xf numFmtId="166" fontId="45" fillId="0" borderId="0" xfId="124" applyFont="1"/>
    <xf numFmtId="166" fontId="45" fillId="0" borderId="0" xfId="124" applyFont="1" applyAlignment="1">
      <alignment horizontal="centerContinuous"/>
    </xf>
    <xf numFmtId="166" fontId="47" fillId="0" borderId="0" xfId="124" applyFont="1"/>
    <xf numFmtId="166" fontId="48" fillId="0" borderId="22" xfId="124" applyFont="1" applyBorder="1"/>
    <xf numFmtId="166" fontId="48" fillId="0" borderId="22" xfId="124" applyFont="1" applyBorder="1" applyAlignment="1">
      <alignment horizontal="centerContinuous"/>
    </xf>
    <xf numFmtId="166" fontId="47" fillId="0" borderId="22" xfId="124" applyFont="1" applyBorder="1"/>
    <xf numFmtId="172" fontId="48" fillId="0" borderId="22" xfId="124" applyNumberFormat="1" applyFont="1" applyBorder="1" applyAlignment="1">
      <alignment horizontal="center"/>
    </xf>
    <xf numFmtId="166" fontId="48" fillId="0" borderId="22" xfId="124" applyFont="1" applyBorder="1" applyAlignment="1">
      <alignment horizontal="center"/>
    </xf>
    <xf numFmtId="166" fontId="35" fillId="0" borderId="0" xfId="124" applyFont="1"/>
    <xf numFmtId="40" fontId="48" fillId="0" borderId="22" xfId="29" applyFont="1" applyFill="1" applyBorder="1" applyAlignment="1" applyProtection="1">
      <alignment horizontal="centerContinuous"/>
    </xf>
    <xf numFmtId="1" fontId="48" fillId="0" borderId="22" xfId="124" applyNumberFormat="1" applyFont="1" applyBorder="1" applyAlignment="1">
      <alignment horizontal="center"/>
    </xf>
    <xf numFmtId="166" fontId="35" fillId="0" borderId="0" xfId="124" applyFont="1" applyAlignment="1">
      <alignment horizontal="fill"/>
    </xf>
    <xf numFmtId="166" fontId="49" fillId="0" borderId="0" xfId="124" applyFont="1" applyAlignment="1">
      <alignment horizontal="center"/>
    </xf>
    <xf numFmtId="166" fontId="48" fillId="0" borderId="0" xfId="124" applyFont="1"/>
    <xf numFmtId="166" fontId="49" fillId="0" borderId="0" xfId="124" applyFont="1"/>
    <xf numFmtId="166" fontId="48" fillId="0" borderId="22" xfId="124" quotePrefix="1" applyFont="1" applyBorder="1" applyAlignment="1">
      <alignment horizontal="center"/>
    </xf>
    <xf numFmtId="174" fontId="48" fillId="0" borderId="22" xfId="124" applyNumberFormat="1" applyFont="1" applyBorder="1" applyAlignment="1">
      <alignment horizontal="center"/>
    </xf>
    <xf numFmtId="15" fontId="48" fillId="0" borderId="22" xfId="124" quotePrefix="1" applyNumberFormat="1" applyFont="1" applyBorder="1" applyAlignment="1">
      <alignment horizontal="centerContinuous"/>
    </xf>
    <xf numFmtId="166" fontId="48" fillId="0" borderId="21" xfId="124" applyFont="1" applyBorder="1" applyAlignment="1">
      <alignment horizontal="center"/>
    </xf>
    <xf numFmtId="166" fontId="48" fillId="0" borderId="22" xfId="124" applyFont="1" applyBorder="1" applyAlignment="1">
      <alignment horizontal="left"/>
    </xf>
    <xf numFmtId="42" fontId="47" fillId="0" borderId="22" xfId="38" applyNumberFormat="1" applyFont="1" applyFill="1" applyBorder="1"/>
    <xf numFmtId="167" fontId="47" fillId="0" borderId="22" xfId="124" applyNumberFormat="1" applyFont="1" applyBorder="1" applyAlignment="1">
      <alignment horizontal="center"/>
    </xf>
    <xf numFmtId="168" fontId="48" fillId="0" borderId="22" xfId="124" applyNumberFormat="1" applyFont="1" applyBorder="1"/>
    <xf numFmtId="38" fontId="35" fillId="0" borderId="0" xfId="38" applyFont="1" applyFill="1" applyBorder="1"/>
    <xf numFmtId="164" fontId="35" fillId="0" borderId="0" xfId="38" applyNumberFormat="1" applyFont="1" applyFill="1" applyBorder="1"/>
    <xf numFmtId="175" fontId="35" fillId="0" borderId="0" xfId="124" applyNumberFormat="1" applyFont="1"/>
    <xf numFmtId="38" fontId="35" fillId="0" borderId="0" xfId="28" applyFont="1" applyFill="1" applyBorder="1" applyProtection="1"/>
    <xf numFmtId="38" fontId="35" fillId="0" borderId="0" xfId="28" applyFont="1" applyFill="1" applyBorder="1"/>
    <xf numFmtId="38" fontId="35" fillId="0" borderId="0" xfId="28" applyFont="1" applyFill="1" applyBorder="1" applyAlignment="1" applyProtection="1"/>
    <xf numFmtId="166" fontId="47" fillId="0" borderId="21" xfId="124" applyFont="1" applyBorder="1"/>
    <xf numFmtId="6" fontId="48" fillId="0" borderId="22" xfId="41" applyNumberFormat="1" applyFont="1" applyFill="1" applyBorder="1" applyAlignment="1" applyProtection="1">
      <alignment horizontal="right"/>
    </xf>
    <xf numFmtId="168" fontId="49" fillId="0" borderId="22" xfId="124" applyNumberFormat="1" applyFont="1" applyBorder="1"/>
    <xf numFmtId="38" fontId="35" fillId="0" borderId="0" xfId="38" applyFont="1" applyFill="1" applyBorder="1" applyAlignment="1">
      <alignment horizontal="center"/>
    </xf>
    <xf numFmtId="38" fontId="35" fillId="0" borderId="0" xfId="38" applyFont="1" applyFill="1" applyBorder="1" applyAlignment="1"/>
    <xf numFmtId="166" fontId="48" fillId="0" borderId="21" xfId="124" applyFont="1" applyBorder="1"/>
    <xf numFmtId="38" fontId="49" fillId="0" borderId="22" xfId="38" applyFont="1" applyFill="1" applyBorder="1"/>
    <xf numFmtId="167" fontId="48" fillId="0" borderId="22" xfId="124" applyNumberFormat="1" applyFont="1" applyBorder="1"/>
    <xf numFmtId="164" fontId="49" fillId="0" borderId="0" xfId="38" applyNumberFormat="1" applyFont="1" applyFill="1" applyBorder="1"/>
    <xf numFmtId="166" fontId="47" fillId="0" borderId="0" xfId="124" applyFont="1" applyAlignment="1">
      <alignment horizontal="left"/>
    </xf>
    <xf numFmtId="167" fontId="35" fillId="0" borderId="0" xfId="124" applyNumberFormat="1" applyFont="1"/>
    <xf numFmtId="169" fontId="35" fillId="0" borderId="0" xfId="124" applyNumberFormat="1" applyFont="1"/>
    <xf numFmtId="168" fontId="35" fillId="0" borderId="0" xfId="124" applyNumberFormat="1" applyFont="1"/>
    <xf numFmtId="166" fontId="35" fillId="0" borderId="0" xfId="124" applyFont="1" applyAlignment="1">
      <alignment horizontal="left"/>
    </xf>
    <xf numFmtId="173" fontId="35" fillId="0" borderId="0" xfId="124" applyNumberFormat="1" applyFont="1"/>
    <xf numFmtId="166" fontId="47" fillId="0" borderId="0" xfId="124" quotePrefix="1" applyFont="1"/>
    <xf numFmtId="170" fontId="35" fillId="0" borderId="0" xfId="124" applyNumberFormat="1" applyFont="1"/>
    <xf numFmtId="166" fontId="35" fillId="0" borderId="0" xfId="124" quotePrefix="1" applyFont="1"/>
    <xf numFmtId="171" fontId="35" fillId="0" borderId="0" xfId="124" applyNumberFormat="1" applyFont="1"/>
    <xf numFmtId="166" fontId="47" fillId="0" borderId="0" xfId="124" quotePrefix="1" applyFont="1" applyAlignment="1">
      <alignment horizontal="left"/>
    </xf>
    <xf numFmtId="166" fontId="35" fillId="0" borderId="0" xfId="124" quotePrefix="1" applyFont="1" applyAlignment="1">
      <alignment horizontal="left"/>
    </xf>
    <xf numFmtId="0" fontId="10" fillId="0" borderId="22" xfId="0" applyFont="1" applyBorder="1"/>
    <xf numFmtId="39" fontId="10" fillId="0" borderId="22" xfId="0" applyNumberFormat="1" applyFont="1" applyBorder="1"/>
    <xf numFmtId="40" fontId="10" fillId="0" borderId="22" xfId="0" applyNumberFormat="1" applyFont="1" applyBorder="1"/>
    <xf numFmtId="0" fontId="9" fillId="0" borderId="0" xfId="88" applyFill="1" applyAlignment="1" applyProtection="1"/>
    <xf numFmtId="0" fontId="43" fillId="0" borderId="0" xfId="138" applyFont="1" applyAlignment="1">
      <alignment horizontal="left"/>
    </xf>
    <xf numFmtId="0" fontId="43" fillId="0" borderId="0" xfId="138" applyFont="1" applyAlignment="1">
      <alignment horizontal="center"/>
    </xf>
    <xf numFmtId="0" fontId="43" fillId="0" borderId="0" xfId="138" applyFont="1"/>
    <xf numFmtId="0" fontId="38" fillId="0" borderId="0" xfId="138" applyFont="1"/>
    <xf numFmtId="0" fontId="43" fillId="0" borderId="6" xfId="138" applyFont="1" applyBorder="1" applyAlignment="1">
      <alignment horizontal="left"/>
    </xf>
    <xf numFmtId="0" fontId="43" fillId="0" borderId="7" xfId="138" applyFont="1" applyBorder="1" applyAlignment="1">
      <alignment horizontal="left"/>
    </xf>
    <xf numFmtId="0" fontId="43" fillId="0" borderId="6" xfId="138" applyFont="1" applyBorder="1" applyAlignment="1">
      <alignment horizontal="center"/>
    </xf>
    <xf numFmtId="0" fontId="43" fillId="0" borderId="7" xfId="138" applyFont="1" applyBorder="1" applyAlignment="1">
      <alignment horizontal="center"/>
    </xf>
    <xf numFmtId="0" fontId="43" fillId="0" borderId="11" xfId="138" applyFont="1" applyBorder="1" applyAlignment="1">
      <alignment horizontal="center"/>
    </xf>
    <xf numFmtId="0" fontId="40" fillId="0" borderId="4" xfId="138" applyFont="1" applyBorder="1" applyAlignment="1">
      <alignment horizontal="left" vertical="center" wrapText="1"/>
    </xf>
    <xf numFmtId="0" fontId="40" fillId="0" borderId="0" xfId="138" applyFont="1" applyAlignment="1">
      <alignment horizontal="left" vertical="center" wrapText="1"/>
    </xf>
    <xf numFmtId="0" fontId="43" fillId="0" borderId="4" xfId="138" applyFont="1" applyBorder="1" applyAlignment="1">
      <alignment horizontal="center" vertical="center" wrapText="1"/>
    </xf>
    <xf numFmtId="0" fontId="43" fillId="0" borderId="0" xfId="138" applyFont="1" applyAlignment="1">
      <alignment horizontal="center" vertical="center" wrapText="1"/>
    </xf>
    <xf numFmtId="9" fontId="43" fillId="0" borderId="5" xfId="138" applyNumberFormat="1" applyFont="1" applyBorder="1" applyAlignment="1">
      <alignment horizontal="center" vertical="center" wrapText="1"/>
    </xf>
    <xf numFmtId="0" fontId="40" fillId="0" borderId="0" xfId="138" applyFont="1" applyAlignment="1">
      <alignment horizontal="center" vertical="center" wrapText="1"/>
    </xf>
    <xf numFmtId="0" fontId="38" fillId="0" borderId="0" xfId="138" applyFont="1" applyAlignment="1">
      <alignment vertical="center"/>
    </xf>
    <xf numFmtId="0" fontId="43" fillId="0" borderId="3" xfId="138" applyFont="1" applyBorder="1" applyAlignment="1">
      <alignment horizontal="left" wrapText="1"/>
    </xf>
    <xf numFmtId="0" fontId="40" fillId="0" borderId="2" xfId="138" applyFont="1" applyBorder="1" applyAlignment="1">
      <alignment horizontal="left" wrapText="1"/>
    </xf>
    <xf numFmtId="0" fontId="43" fillId="0" borderId="2" xfId="138" applyFont="1" applyBorder="1" applyAlignment="1">
      <alignment horizontal="left" wrapText="1"/>
    </xf>
    <xf numFmtId="0" fontId="43" fillId="0" borderId="3" xfId="138" applyFont="1" applyBorder="1" applyAlignment="1">
      <alignment horizontal="center"/>
    </xf>
    <xf numFmtId="0" fontId="43" fillId="0" borderId="2" xfId="138" applyFont="1" applyBorder="1" applyAlignment="1">
      <alignment horizontal="center"/>
    </xf>
    <xf numFmtId="0" fontId="43" fillId="0" borderId="8" xfId="138" applyFont="1" applyBorder="1" applyAlignment="1">
      <alignment horizontal="center"/>
    </xf>
    <xf numFmtId="0" fontId="40" fillId="0" borderId="4" xfId="138" applyFont="1" applyBorder="1" applyAlignment="1">
      <alignment horizontal="left"/>
    </xf>
    <xf numFmtId="0" fontId="40" fillId="0" borderId="0" xfId="138" applyFont="1" applyAlignment="1">
      <alignment horizontal="left"/>
    </xf>
    <xf numFmtId="177" fontId="40" fillId="33" borderId="4" xfId="98" applyNumberFormat="1" applyFont="1" applyFill="1" applyBorder="1"/>
    <xf numFmtId="177" fontId="40" fillId="33" borderId="0" xfId="98" applyNumberFormat="1" applyFont="1" applyFill="1"/>
    <xf numFmtId="177" fontId="40" fillId="33" borderId="0" xfId="138" applyNumberFormat="1" applyFont="1" applyFill="1" applyAlignment="1">
      <alignment horizontal="right"/>
    </xf>
    <xf numFmtId="177" fontId="40" fillId="33" borderId="0" xfId="138" applyNumberFormat="1" applyFont="1" applyFill="1"/>
    <xf numFmtId="177" fontId="40" fillId="0" borderId="0" xfId="138" applyNumberFormat="1" applyFont="1"/>
    <xf numFmtId="179" fontId="40" fillId="0" borderId="0" xfId="30" applyNumberFormat="1" applyFont="1" applyFill="1"/>
    <xf numFmtId="177" fontId="40" fillId="0" borderId="0" xfId="139" applyNumberFormat="1" applyFont="1" applyFill="1" applyBorder="1"/>
    <xf numFmtId="177" fontId="40" fillId="0" borderId="0" xfId="52" applyNumberFormat="1" applyFont="1" applyFill="1"/>
    <xf numFmtId="6" fontId="40" fillId="0" borderId="0" xfId="138" applyNumberFormat="1" applyFont="1"/>
    <xf numFmtId="8" fontId="40" fillId="0" borderId="5" xfId="52" applyNumberFormat="1" applyFont="1" applyFill="1" applyBorder="1"/>
    <xf numFmtId="44" fontId="38" fillId="0" borderId="0" xfId="138" applyNumberFormat="1" applyFont="1"/>
    <xf numFmtId="40" fontId="41" fillId="0" borderId="0" xfId="138" applyNumberFormat="1" applyFont="1"/>
    <xf numFmtId="9" fontId="38" fillId="0" borderId="0" xfId="141" applyFont="1"/>
    <xf numFmtId="0" fontId="40" fillId="0" borderId="3" xfId="138" applyFont="1" applyBorder="1" applyAlignment="1">
      <alignment horizontal="left"/>
    </xf>
    <xf numFmtId="0" fontId="40" fillId="0" borderId="2" xfId="138" applyFont="1" applyBorder="1" applyAlignment="1">
      <alignment horizontal="left"/>
    </xf>
    <xf numFmtId="0" fontId="43" fillId="0" borderId="2" xfId="138" applyFont="1" applyBorder="1" applyAlignment="1">
      <alignment horizontal="left"/>
    </xf>
    <xf numFmtId="177" fontId="40" fillId="33" borderId="3" xfId="98" applyNumberFormat="1" applyFont="1" applyFill="1" applyBorder="1"/>
    <xf numFmtId="177" fontId="40" fillId="33" borderId="2" xfId="98" applyNumberFormat="1" applyFont="1" applyFill="1" applyBorder="1"/>
    <xf numFmtId="177" fontId="40" fillId="33" borderId="2" xfId="138" applyNumberFormat="1" applyFont="1" applyFill="1" applyBorder="1" applyAlignment="1">
      <alignment horizontal="right"/>
    </xf>
    <xf numFmtId="177" fontId="40" fillId="33" borderId="2" xfId="138" applyNumberFormat="1" applyFont="1" applyFill="1" applyBorder="1"/>
    <xf numFmtId="177" fontId="40" fillId="0" borderId="2" xfId="138" applyNumberFormat="1" applyFont="1" applyBorder="1"/>
    <xf numFmtId="177" fontId="40" fillId="0" borderId="2" xfId="52" applyNumberFormat="1" applyFont="1" applyFill="1" applyBorder="1"/>
    <xf numFmtId="6" fontId="40" fillId="0" borderId="2" xfId="138" applyNumberFormat="1" applyFont="1" applyBorder="1"/>
    <xf numFmtId="8" fontId="40" fillId="0" borderId="8" xfId="52" applyNumberFormat="1" applyFont="1" applyFill="1" applyBorder="1"/>
    <xf numFmtId="165" fontId="43" fillId="0" borderId="0" xfId="142" applyNumberFormat="1" applyFont="1" applyBorder="1" applyAlignment="1">
      <alignment horizontal="left"/>
    </xf>
    <xf numFmtId="177" fontId="43" fillId="0" borderId="0" xfId="52" applyNumberFormat="1" applyFont="1" applyBorder="1"/>
    <xf numFmtId="6" fontId="43" fillId="0" borderId="0" xfId="52" applyNumberFormat="1" applyFont="1" applyBorder="1"/>
    <xf numFmtId="8" fontId="43" fillId="0" borderId="0" xfId="52" applyNumberFormat="1" applyFont="1" applyBorder="1"/>
    <xf numFmtId="165" fontId="44" fillId="0" borderId="0" xfId="142" applyNumberFormat="1" applyFont="1" applyBorder="1"/>
    <xf numFmtId="165" fontId="39" fillId="0" borderId="0" xfId="142" applyNumberFormat="1" applyFont="1"/>
    <xf numFmtId="165" fontId="44" fillId="0" borderId="0" xfId="142" applyNumberFormat="1" applyFont="1"/>
    <xf numFmtId="38" fontId="43" fillId="0" borderId="0" xfId="138" applyNumberFormat="1" applyFont="1"/>
    <xf numFmtId="43" fontId="43" fillId="0" borderId="0" xfId="142" applyFont="1" applyFill="1"/>
    <xf numFmtId="8" fontId="43" fillId="0" borderId="0" xfId="138" applyNumberFormat="1" applyFont="1"/>
    <xf numFmtId="40" fontId="43" fillId="0" borderId="0" xfId="138" applyNumberFormat="1" applyFont="1"/>
    <xf numFmtId="0" fontId="39" fillId="0" borderId="0" xfId="138" applyFont="1"/>
    <xf numFmtId="0" fontId="38" fillId="0" borderId="0" xfId="138" applyFont="1" applyAlignment="1">
      <alignment horizontal="left" vertical="top"/>
    </xf>
    <xf numFmtId="0" fontId="38" fillId="0" borderId="0" xfId="138" applyFont="1" applyAlignment="1">
      <alignment vertical="top" wrapText="1"/>
    </xf>
    <xf numFmtId="0" fontId="40" fillId="0" borderId="0" xfId="138" applyFont="1" applyAlignment="1">
      <alignment vertical="top" wrapText="1"/>
    </xf>
    <xf numFmtId="0" fontId="38" fillId="0" borderId="0" xfId="138" applyFont="1" applyAlignment="1">
      <alignment vertical="top"/>
    </xf>
    <xf numFmtId="44" fontId="40" fillId="0" borderId="0" xfId="143" applyFont="1" applyAlignment="1">
      <alignment vertical="top"/>
    </xf>
    <xf numFmtId="0" fontId="38" fillId="0" borderId="0" xfId="138" applyFont="1" applyAlignment="1">
      <alignment horizontal="left" wrapText="1"/>
    </xf>
    <xf numFmtId="0" fontId="38" fillId="0" borderId="0" xfId="138" applyFont="1" applyAlignment="1">
      <alignment wrapText="1"/>
    </xf>
    <xf numFmtId="38" fontId="40" fillId="0" borderId="0" xfId="138" applyNumberFormat="1" applyFont="1" applyAlignment="1">
      <alignment wrapText="1"/>
    </xf>
    <xf numFmtId="0" fontId="42" fillId="0" borderId="0" xfId="138" applyFont="1" applyAlignment="1">
      <alignment wrapText="1"/>
    </xf>
    <xf numFmtId="164" fontId="40" fillId="0" borderId="0" xfId="138" applyNumberFormat="1" applyFont="1" applyAlignment="1">
      <alignment wrapText="1"/>
    </xf>
    <xf numFmtId="0" fontId="38" fillId="0" borderId="0" xfId="138" applyFont="1" applyAlignment="1">
      <alignment horizontal="left"/>
    </xf>
    <xf numFmtId="180" fontId="40" fillId="0" borderId="0" xfId="130" applyNumberFormat="1" applyFont="1"/>
    <xf numFmtId="180" fontId="43" fillId="0" borderId="0" xfId="130" applyNumberFormat="1" applyFont="1" applyBorder="1"/>
    <xf numFmtId="177" fontId="40" fillId="0" borderId="2" xfId="139" applyNumberFormat="1" applyFont="1" applyFill="1" applyBorder="1"/>
    <xf numFmtId="179" fontId="43" fillId="0" borderId="7" xfId="30" applyNumberFormat="1" applyFont="1" applyBorder="1"/>
    <xf numFmtId="40" fontId="35" fillId="0" borderId="0" xfId="28" applyNumberFormat="1" applyFont="1" applyFill="1" applyBorder="1"/>
    <xf numFmtId="16" fontId="52" fillId="34" borderId="23" xfId="144" quotePrefix="1" applyNumberFormat="1" applyFont="1" applyFill="1" applyBorder="1" applyAlignment="1">
      <alignment horizontal="center" vertical="center" wrapText="1"/>
    </xf>
    <xf numFmtId="0" fontId="50" fillId="0" borderId="0" xfId="144" applyFont="1" applyAlignment="1">
      <alignment vertical="center"/>
    </xf>
    <xf numFmtId="0" fontId="50" fillId="0" borderId="0" xfId="144" applyFont="1" applyAlignment="1">
      <alignment horizontal="center" vertical="center"/>
    </xf>
    <xf numFmtId="0" fontId="50" fillId="0" borderId="0" xfId="144" applyFont="1" applyAlignment="1">
      <alignment horizontal="center" vertical="center" wrapText="1"/>
    </xf>
    <xf numFmtId="0" fontId="50" fillId="0" borderId="0" xfId="144" applyFont="1" applyAlignment="1">
      <alignment vertical="center" wrapText="1"/>
    </xf>
    <xf numFmtId="180" fontId="50" fillId="0" borderId="0" xfId="145" applyNumberFormat="1" applyFont="1" applyAlignment="1">
      <alignment vertical="center" wrapText="1"/>
    </xf>
    <xf numFmtId="165" fontId="50" fillId="0" borderId="0" xfId="145" applyNumberFormat="1" applyFont="1" applyAlignment="1">
      <alignment vertical="center" wrapText="1"/>
    </xf>
    <xf numFmtId="178" fontId="50" fillId="0" borderId="0" xfId="145" applyNumberFormat="1" applyFont="1" applyFill="1" applyAlignment="1">
      <alignment vertical="center" wrapText="1"/>
    </xf>
    <xf numFmtId="180" fontId="50" fillId="0" borderId="0" xfId="145" applyNumberFormat="1" applyFont="1" applyFill="1" applyAlignment="1">
      <alignment vertical="center" wrapText="1"/>
    </xf>
    <xf numFmtId="165" fontId="51" fillId="0" borderId="0" xfId="145" applyNumberFormat="1" applyFont="1" applyFill="1" applyAlignment="1">
      <alignment vertical="center" wrapText="1"/>
    </xf>
    <xf numFmtId="180" fontId="51" fillId="0" borderId="0" xfId="145" applyNumberFormat="1" applyFont="1" applyFill="1" applyAlignment="1">
      <alignment vertical="center" wrapText="1"/>
    </xf>
    <xf numFmtId="178" fontId="51" fillId="0" borderId="0" xfId="145" applyNumberFormat="1" applyFont="1" applyFill="1" applyAlignment="1">
      <alignment vertical="center" wrapText="1"/>
    </xf>
    <xf numFmtId="165" fontId="50" fillId="0" borderId="0" xfId="144" applyNumberFormat="1" applyFont="1" applyAlignment="1">
      <alignment vertical="center" wrapText="1"/>
    </xf>
    <xf numFmtId="16" fontId="50" fillId="0" borderId="0" xfId="144" applyNumberFormat="1" applyFont="1" applyAlignment="1">
      <alignment vertical="center"/>
    </xf>
    <xf numFmtId="180" fontId="50" fillId="0" borderId="0" xfId="144" applyNumberFormat="1" applyFont="1" applyAlignment="1">
      <alignment vertical="center"/>
    </xf>
    <xf numFmtId="0" fontId="50" fillId="35" borderId="0" xfId="144" applyFont="1" applyFill="1" applyAlignment="1">
      <alignment vertical="center" wrapText="1"/>
    </xf>
    <xf numFmtId="165" fontId="51" fillId="0" borderId="22" xfId="145" applyNumberFormat="1" applyFont="1" applyFill="1" applyBorder="1" applyAlignment="1">
      <alignment vertical="center" wrapText="1"/>
    </xf>
    <xf numFmtId="43" fontId="50" fillId="0" borderId="0" xfId="144" applyNumberFormat="1" applyFont="1" applyAlignment="1">
      <alignment vertical="center"/>
    </xf>
    <xf numFmtId="43" fontId="50" fillId="35" borderId="0" xfId="144" applyNumberFormat="1" applyFont="1" applyFill="1" applyAlignment="1">
      <alignment vertical="center"/>
    </xf>
    <xf numFmtId="180" fontId="51" fillId="35" borderId="0" xfId="145" applyNumberFormat="1" applyFont="1" applyFill="1" applyAlignment="1">
      <alignment vertical="center" wrapText="1"/>
    </xf>
    <xf numFmtId="165" fontId="50" fillId="0" borderId="0" xfId="145" applyNumberFormat="1" applyFont="1" applyFill="1" applyAlignment="1">
      <alignment vertical="center" wrapText="1"/>
    </xf>
    <xf numFmtId="0" fontId="50" fillId="35" borderId="0" xfId="144" applyFont="1" applyFill="1" applyAlignment="1">
      <alignment horizontal="center" vertical="center"/>
    </xf>
    <xf numFmtId="0" fontId="50" fillId="35" borderId="0" xfId="144" applyFont="1" applyFill="1" applyAlignment="1">
      <alignment horizontal="center" vertical="center" wrapText="1"/>
    </xf>
    <xf numFmtId="180" fontId="50" fillId="35" borderId="0" xfId="145" applyNumberFormat="1" applyFont="1" applyFill="1" applyAlignment="1">
      <alignment vertical="center" wrapText="1"/>
    </xf>
    <xf numFmtId="0" fontId="50" fillId="35" borderId="0" xfId="144" applyFont="1" applyFill="1" applyAlignment="1">
      <alignment vertical="center"/>
    </xf>
    <xf numFmtId="180" fontId="50" fillId="35" borderId="0" xfId="144" applyNumberFormat="1" applyFont="1" applyFill="1" applyAlignment="1">
      <alignment vertical="center"/>
    </xf>
    <xf numFmtId="181" fontId="50" fillId="0" borderId="0" xfId="144" applyNumberFormat="1" applyFont="1" applyAlignment="1">
      <alignment vertical="center"/>
    </xf>
    <xf numFmtId="43" fontId="50" fillId="0" borderId="0" xfId="145" applyFont="1" applyAlignment="1">
      <alignment vertical="center" wrapText="1"/>
    </xf>
    <xf numFmtId="165" fontId="50" fillId="0" borderId="0" xfId="144" applyNumberFormat="1" applyFont="1" applyAlignment="1">
      <alignment vertical="center"/>
    </xf>
    <xf numFmtId="165" fontId="51" fillId="35" borderId="0" xfId="145" applyNumberFormat="1" applyFont="1" applyFill="1" applyAlignment="1">
      <alignment vertical="center" wrapText="1"/>
    </xf>
    <xf numFmtId="178" fontId="50" fillId="0" borderId="0" xfId="145" applyNumberFormat="1" applyFont="1" applyAlignment="1">
      <alignment vertical="center" wrapText="1"/>
    </xf>
    <xf numFmtId="0" fontId="50" fillId="0" borderId="0" xfId="145" applyNumberFormat="1" applyFont="1" applyAlignment="1">
      <alignment vertical="center" wrapText="1"/>
    </xf>
    <xf numFmtId="180" fontId="50" fillId="36" borderId="0" xfId="144" applyNumberFormat="1" applyFont="1" applyFill="1" applyAlignment="1">
      <alignment vertical="center"/>
    </xf>
    <xf numFmtId="181" fontId="50" fillId="0" borderId="0" xfId="144" applyNumberFormat="1" applyFont="1" applyAlignment="1">
      <alignment horizontal="center" vertical="center"/>
    </xf>
    <xf numFmtId="180" fontId="50" fillId="0" borderId="0" xfId="145" applyNumberFormat="1" applyFont="1" applyAlignment="1">
      <alignment vertical="center"/>
    </xf>
    <xf numFmtId="165" fontId="50" fillId="0" borderId="0" xfId="145" applyNumberFormat="1" applyFont="1" applyAlignment="1">
      <alignment vertical="center"/>
    </xf>
    <xf numFmtId="180" fontId="50" fillId="0" borderId="0" xfId="145" applyNumberFormat="1" applyFont="1" applyAlignment="1">
      <alignment horizontal="center" vertical="center"/>
    </xf>
    <xf numFmtId="180" fontId="50" fillId="36" borderId="0" xfId="145" applyNumberFormat="1" applyFont="1" applyFill="1" applyAlignment="1">
      <alignment vertical="center"/>
    </xf>
    <xf numFmtId="9" fontId="50" fillId="0" borderId="0" xfId="146" applyFont="1" applyAlignment="1">
      <alignment vertical="center"/>
    </xf>
    <xf numFmtId="0" fontId="50" fillId="37" borderId="0" xfId="144" applyFont="1" applyFill="1" applyAlignment="1">
      <alignment horizontal="left" vertical="center"/>
    </xf>
    <xf numFmtId="0" fontId="52" fillId="0" borderId="0" xfId="144" applyFont="1" applyAlignment="1">
      <alignment horizontal="center" vertical="center" wrapText="1"/>
    </xf>
    <xf numFmtId="165" fontId="52" fillId="0" borderId="0" xfId="145" applyNumberFormat="1" applyFont="1" applyAlignment="1">
      <alignment horizontal="center" vertical="center" wrapText="1"/>
    </xf>
    <xf numFmtId="0" fontId="52" fillId="0" borderId="0" xfId="144" quotePrefix="1" applyFont="1" applyAlignment="1">
      <alignment horizontal="center" vertical="center" wrapText="1"/>
    </xf>
    <xf numFmtId="16" fontId="52" fillId="0" borderId="0" xfId="144" quotePrefix="1" applyNumberFormat="1" applyFont="1" applyAlignment="1">
      <alignment horizontal="center" vertical="center" wrapText="1"/>
    </xf>
    <xf numFmtId="0" fontId="53" fillId="0" borderId="0" xfId="144" applyFont="1" applyAlignment="1">
      <alignment vertical="center"/>
    </xf>
    <xf numFmtId="0" fontId="7" fillId="0" borderId="0" xfId="0" applyFont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0" xfId="0" applyFont="1" applyAlignment="1">
      <alignment horizontal="right"/>
    </xf>
    <xf numFmtId="166" fontId="46" fillId="0" borderId="0" xfId="124" applyFont="1" applyAlignment="1">
      <alignment horizontal="center"/>
    </xf>
    <xf numFmtId="0" fontId="50" fillId="35" borderId="0" xfId="144" applyFont="1" applyFill="1" applyAlignment="1">
      <alignment horizontal="center" vertical="center"/>
    </xf>
  </cellXfs>
  <cellStyles count="147">
    <cellStyle name="20% - Accent1 2" xfId="1" xr:uid="{00000000-0005-0000-0000-000000000000}"/>
    <cellStyle name="20% - Accent1 2 2" xfId="109" xr:uid="{CF621B4B-A19F-4BEA-8376-9E8317797C7D}"/>
    <cellStyle name="20% - Accent2 2" xfId="2" xr:uid="{00000000-0005-0000-0000-000001000000}"/>
    <cellStyle name="20% - Accent2 2 2" xfId="110" xr:uid="{F5999FAC-2844-4B4F-915F-9CCCCDEB0979}"/>
    <cellStyle name="20% - Accent3 2" xfId="3" xr:uid="{00000000-0005-0000-0000-000002000000}"/>
    <cellStyle name="20% - Accent3 2 2" xfId="111" xr:uid="{7214CA3A-5DEC-45D4-B977-C32E9A8A6BAD}"/>
    <cellStyle name="20% - Accent4 2" xfId="4" xr:uid="{00000000-0005-0000-0000-000003000000}"/>
    <cellStyle name="20% - Accent4 2 2" xfId="112" xr:uid="{7A64BC8D-2578-48C2-90A0-B9AFF5DAA56C}"/>
    <cellStyle name="20% - Accent5 2" xfId="5" xr:uid="{00000000-0005-0000-0000-000004000000}"/>
    <cellStyle name="20% - Accent5 2 2" xfId="113" xr:uid="{3DA8403A-3D33-4E28-A3F6-31AC673A8888}"/>
    <cellStyle name="20% - Accent6 2" xfId="6" xr:uid="{00000000-0005-0000-0000-000005000000}"/>
    <cellStyle name="20% - Accent6 2 2" xfId="114" xr:uid="{ABB04934-824A-4797-8330-622F3F1A9B46}"/>
    <cellStyle name="40% - Accent1 2" xfId="7" xr:uid="{00000000-0005-0000-0000-000006000000}"/>
    <cellStyle name="40% - Accent1 2 2" xfId="115" xr:uid="{2DEC59EC-ECFC-459B-B8E6-FA40A767FAFF}"/>
    <cellStyle name="40% - Accent2 2" xfId="8" xr:uid="{00000000-0005-0000-0000-000007000000}"/>
    <cellStyle name="40% - Accent2 2 2" xfId="116" xr:uid="{AB13CA40-AC24-4B05-980B-9982CF451C44}"/>
    <cellStyle name="40% - Accent3 2" xfId="9" xr:uid="{00000000-0005-0000-0000-000008000000}"/>
    <cellStyle name="40% - Accent3 2 2" xfId="117" xr:uid="{F2D8E7AF-3A08-4F57-969C-8B040C713E9C}"/>
    <cellStyle name="40% - Accent4 2" xfId="10" xr:uid="{00000000-0005-0000-0000-000009000000}"/>
    <cellStyle name="40% - Accent4 2 2" xfId="118" xr:uid="{C890E594-6928-4932-82E3-B681483B0148}"/>
    <cellStyle name="40% - Accent5 2" xfId="11" xr:uid="{00000000-0005-0000-0000-00000A000000}"/>
    <cellStyle name="40% - Accent5 2 2" xfId="119" xr:uid="{ED034138-0AEA-45B0-9578-68FA72F4CA0E}"/>
    <cellStyle name="40% - Accent6 2" xfId="12" xr:uid="{00000000-0005-0000-0000-00000B000000}"/>
    <cellStyle name="40% - Accent6 2 2" xfId="120" xr:uid="{DF6A29F6-D50C-4308-8ED3-9D5502C53CC2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omma" xfId="130" builtinId="3"/>
    <cellStyle name="Comma [0] 2" xfId="28" xr:uid="{00000000-0005-0000-0000-00001C000000}"/>
    <cellStyle name="Comma 10" xfId="145" xr:uid="{B54C43CD-9E4A-4216-8728-004377151085}"/>
    <cellStyle name="Comma 2" xfId="29" xr:uid="{00000000-0005-0000-0000-00001D000000}"/>
    <cellStyle name="Comma 2 2" xfId="30" xr:uid="{00000000-0005-0000-0000-00001E000000}"/>
    <cellStyle name="Comma 2 3" xfId="31" xr:uid="{00000000-0005-0000-0000-00001F000000}"/>
    <cellStyle name="Comma 3" xfId="32" xr:uid="{00000000-0005-0000-0000-000020000000}"/>
    <cellStyle name="Comma 3 2" xfId="33" xr:uid="{00000000-0005-0000-0000-000021000000}"/>
    <cellStyle name="Comma 4" xfId="34" xr:uid="{00000000-0005-0000-0000-000022000000}"/>
    <cellStyle name="Comma 4 2" xfId="35" xr:uid="{00000000-0005-0000-0000-000023000000}"/>
    <cellStyle name="Comma 5" xfId="36" xr:uid="{00000000-0005-0000-0000-000024000000}"/>
    <cellStyle name="Comma 6" xfId="37" xr:uid="{00000000-0005-0000-0000-000025000000}"/>
    <cellStyle name="Comma 7" xfId="129" xr:uid="{567C5E67-FF87-4340-8A77-4DA00002A0C8}"/>
    <cellStyle name="Comma 8" xfId="133" xr:uid="{A67593D6-0539-4E1A-9DEA-21B3FB246B86}"/>
    <cellStyle name="Comma 8 2" xfId="142" xr:uid="{E1DFA135-C062-4B39-8C74-4AF96ED6C48D}"/>
    <cellStyle name="Comma 9" xfId="137" xr:uid="{0C01079B-8027-460E-83B0-711644E2660D}"/>
    <cellStyle name="Currency [0] 2" xfId="38" xr:uid="{00000000-0005-0000-0000-000027000000}"/>
    <cellStyle name="Currency [0] 2 2" xfId="39" xr:uid="{00000000-0005-0000-0000-000028000000}"/>
    <cellStyle name="Currency [0] 3" xfId="40" xr:uid="{00000000-0005-0000-0000-000029000000}"/>
    <cellStyle name="Currency [0] 4" xfId="127" xr:uid="{8756F9CA-BF68-435B-B6A2-80B7A5D02184}"/>
    <cellStyle name="Currency [0] 5" xfId="135" xr:uid="{555DD294-DC70-4E59-B980-B4FBE08A8BE1}"/>
    <cellStyle name="Currency [0] 5 2" xfId="139" xr:uid="{54AAE171-CC75-4343-949F-6E8794BA2644}"/>
    <cellStyle name="Currency 10" xfId="41" xr:uid="{00000000-0005-0000-0000-00002A000000}"/>
    <cellStyle name="Currency 11" xfId="42" xr:uid="{00000000-0005-0000-0000-00002B000000}"/>
    <cellStyle name="Currency 12" xfId="43" xr:uid="{00000000-0005-0000-0000-00002C000000}"/>
    <cellStyle name="Currency 13" xfId="44" xr:uid="{00000000-0005-0000-0000-00002D000000}"/>
    <cellStyle name="Currency 14" xfId="45" xr:uid="{00000000-0005-0000-0000-00002E000000}"/>
    <cellStyle name="Currency 15" xfId="46" xr:uid="{00000000-0005-0000-0000-00002F000000}"/>
    <cellStyle name="Currency 16" xfId="47" xr:uid="{00000000-0005-0000-0000-000030000000}"/>
    <cellStyle name="Currency 17" xfId="48" xr:uid="{00000000-0005-0000-0000-000031000000}"/>
    <cellStyle name="Currency 18" xfId="49" xr:uid="{00000000-0005-0000-0000-000032000000}"/>
    <cellStyle name="Currency 19" xfId="50" xr:uid="{00000000-0005-0000-0000-000033000000}"/>
    <cellStyle name="Currency 2" xfId="51" xr:uid="{00000000-0005-0000-0000-000034000000}"/>
    <cellStyle name="Currency 2 2" xfId="52" xr:uid="{00000000-0005-0000-0000-000035000000}"/>
    <cellStyle name="Currency 20" xfId="53" xr:uid="{00000000-0005-0000-0000-000036000000}"/>
    <cellStyle name="Currency 21" xfId="54" xr:uid="{00000000-0005-0000-0000-000037000000}"/>
    <cellStyle name="Currency 22" xfId="55" xr:uid="{00000000-0005-0000-0000-000038000000}"/>
    <cellStyle name="Currency 23" xfId="56" xr:uid="{00000000-0005-0000-0000-000039000000}"/>
    <cellStyle name="Currency 24" xfId="57" xr:uid="{00000000-0005-0000-0000-00003A000000}"/>
    <cellStyle name="Currency 25" xfId="58" xr:uid="{00000000-0005-0000-0000-00003B000000}"/>
    <cellStyle name="Currency 26" xfId="59" xr:uid="{00000000-0005-0000-0000-00003C000000}"/>
    <cellStyle name="Currency 27" xfId="60" xr:uid="{00000000-0005-0000-0000-00003D000000}"/>
    <cellStyle name="Currency 28" xfId="61" xr:uid="{00000000-0005-0000-0000-00003E000000}"/>
    <cellStyle name="Currency 29" xfId="62" xr:uid="{00000000-0005-0000-0000-00003F000000}"/>
    <cellStyle name="Currency 3" xfId="63" xr:uid="{00000000-0005-0000-0000-000040000000}"/>
    <cellStyle name="Currency 30" xfId="64" xr:uid="{00000000-0005-0000-0000-000041000000}"/>
    <cellStyle name="Currency 31" xfId="65" xr:uid="{00000000-0005-0000-0000-000042000000}"/>
    <cellStyle name="Currency 32" xfId="66" xr:uid="{00000000-0005-0000-0000-000043000000}"/>
    <cellStyle name="Currency 33" xfId="67" xr:uid="{00000000-0005-0000-0000-000044000000}"/>
    <cellStyle name="Currency 34" xfId="68" xr:uid="{00000000-0005-0000-0000-000045000000}"/>
    <cellStyle name="Currency 35" xfId="69" xr:uid="{00000000-0005-0000-0000-000046000000}"/>
    <cellStyle name="Currency 36" xfId="70" xr:uid="{00000000-0005-0000-0000-000047000000}"/>
    <cellStyle name="Currency 37" xfId="71" xr:uid="{00000000-0005-0000-0000-000048000000}"/>
    <cellStyle name="Currency 38" xfId="72" xr:uid="{00000000-0005-0000-0000-000049000000}"/>
    <cellStyle name="Currency 39" xfId="73" xr:uid="{00000000-0005-0000-0000-00004A000000}"/>
    <cellStyle name="Currency 4" xfId="74" xr:uid="{00000000-0005-0000-0000-00004B000000}"/>
    <cellStyle name="Currency 40" xfId="75" xr:uid="{00000000-0005-0000-0000-00004C000000}"/>
    <cellStyle name="Currency 41" xfId="76" xr:uid="{00000000-0005-0000-0000-00004D000000}"/>
    <cellStyle name="Currency 42" xfId="132" xr:uid="{84040226-3D09-4379-ABAB-30E3BFDE84C6}"/>
    <cellStyle name="Currency 42 2" xfId="143" xr:uid="{AFD38135-6B4E-4A98-A32C-150D27F67680}"/>
    <cellStyle name="Currency 5" xfId="77" xr:uid="{00000000-0005-0000-0000-00004E000000}"/>
    <cellStyle name="Currency 6" xfId="78" xr:uid="{00000000-0005-0000-0000-00004F000000}"/>
    <cellStyle name="Currency 7" xfId="79" xr:uid="{00000000-0005-0000-0000-000050000000}"/>
    <cellStyle name="Currency 8" xfId="80" xr:uid="{00000000-0005-0000-0000-000051000000}"/>
    <cellStyle name="Currency 9" xfId="81" xr:uid="{00000000-0005-0000-0000-000052000000}"/>
    <cellStyle name="Explanatory Text 2" xfId="82" xr:uid="{00000000-0005-0000-0000-000053000000}"/>
    <cellStyle name="Good 2" xfId="83" xr:uid="{00000000-0005-0000-0000-000054000000}"/>
    <cellStyle name="Heading 1 2" xfId="84" xr:uid="{00000000-0005-0000-0000-000055000000}"/>
    <cellStyle name="Heading 2 2" xfId="85" xr:uid="{00000000-0005-0000-0000-000056000000}"/>
    <cellStyle name="Heading 3 2" xfId="86" xr:uid="{00000000-0005-0000-0000-000057000000}"/>
    <cellStyle name="Heading 4 2" xfId="87" xr:uid="{00000000-0005-0000-0000-000058000000}"/>
    <cellStyle name="Hyperlink" xfId="88" builtinId="8"/>
    <cellStyle name="Input 2" xfId="89" xr:uid="{00000000-0005-0000-0000-00005A000000}"/>
    <cellStyle name="Linked Cell 2" xfId="90" xr:uid="{00000000-0005-0000-0000-00005B000000}"/>
    <cellStyle name="Neutral 2" xfId="91" xr:uid="{00000000-0005-0000-0000-00005C000000}"/>
    <cellStyle name="Normal" xfId="0" builtinId="0"/>
    <cellStyle name="Normal 10" xfId="144" xr:uid="{950CB1A2-DB49-4A6A-BFFB-709ACF08B0DB}"/>
    <cellStyle name="Normal 2" xfId="92" xr:uid="{00000000-0005-0000-0000-00005E000000}"/>
    <cellStyle name="Normal 2 2" xfId="93" xr:uid="{00000000-0005-0000-0000-00005F000000}"/>
    <cellStyle name="Normal 2 2 2" xfId="94" xr:uid="{00000000-0005-0000-0000-000060000000}"/>
    <cellStyle name="Normal 2 2 3" xfId="121" xr:uid="{8C471388-2AE5-43BA-85DD-FB793D8C660B}"/>
    <cellStyle name="Normal 2 2 4" xfId="128" xr:uid="{9D870D7E-359B-4293-AE57-CC82D17C79F7}"/>
    <cellStyle name="Normal 2 2 5" xfId="134" xr:uid="{25651AA2-67DE-496D-A263-938867B30688}"/>
    <cellStyle name="Normal 2 2 5 2" xfId="140" xr:uid="{A2AD93B3-0C7A-4087-9B3E-B49B661DE675}"/>
    <cellStyle name="Normal 2 3" xfId="95" xr:uid="{00000000-0005-0000-0000-000061000000}"/>
    <cellStyle name="Normal 2 3 2" xfId="122" xr:uid="{638396B8-307F-42C4-BD60-FC29AC91DA29}"/>
    <cellStyle name="Normal 2 4" xfId="96" xr:uid="{00000000-0005-0000-0000-000062000000}"/>
    <cellStyle name="Normal 3" xfId="97" xr:uid="{00000000-0005-0000-0000-000063000000}"/>
    <cellStyle name="Normal 3 2" xfId="123" xr:uid="{1B3241AC-3F8A-4CBB-9A30-CD57FFDCE49E}"/>
    <cellStyle name="Normal 4" xfId="98" xr:uid="{00000000-0005-0000-0000-000064000000}"/>
    <cellStyle name="Normal 4 2" xfId="99" xr:uid="{00000000-0005-0000-0000-000065000000}"/>
    <cellStyle name="Normal 4 3" xfId="100" xr:uid="{00000000-0005-0000-0000-000066000000}"/>
    <cellStyle name="Normal 5" xfId="101" xr:uid="{00000000-0005-0000-0000-000067000000}"/>
    <cellStyle name="Normal 5 2" xfId="102" xr:uid="{00000000-0005-0000-0000-000068000000}"/>
    <cellStyle name="Normal 6" xfId="124" xr:uid="{90E19993-6D78-4835-A6D1-2707CED7845C}"/>
    <cellStyle name="Normal 7" xfId="126" xr:uid="{E2544C4A-8E1A-4C6B-B270-3C40BDCFEC5D}"/>
    <cellStyle name="Normal 8" xfId="131" xr:uid="{85C41FBF-10BA-49A7-913E-69CB65ACFA22}"/>
    <cellStyle name="Normal 8 2" xfId="138" xr:uid="{451A0E5B-213C-46DF-87E3-7115422D5AD0}"/>
    <cellStyle name="Normal 9" xfId="136" xr:uid="{5C7F07FF-B28F-476F-B2C1-D55A9ADEBA4D}"/>
    <cellStyle name="Note 2" xfId="103" xr:uid="{00000000-0005-0000-0000-000069000000}"/>
    <cellStyle name="Output 2" xfId="104" xr:uid="{00000000-0005-0000-0000-00006A000000}"/>
    <cellStyle name="Percent 2" xfId="105" xr:uid="{00000000-0005-0000-0000-00006B000000}"/>
    <cellStyle name="Percent 3" xfId="125" xr:uid="{46CA8EF2-B15E-49A9-808E-ED74E90576D1}"/>
    <cellStyle name="Percent 4" xfId="141" xr:uid="{26D3AD73-F20E-4AD3-AF07-27E3239CFAA5}"/>
    <cellStyle name="Percent 5" xfId="146" xr:uid="{F814F0F9-9743-4101-AABC-4D22F75AB31D}"/>
    <cellStyle name="Title" xfId="106" builtinId="15" customBuiltin="1"/>
    <cellStyle name="Total 2" xfId="107" xr:uid="{00000000-0005-0000-0000-00006D000000}"/>
    <cellStyle name="Warning Text 2" xfId="108" xr:uid="{00000000-0005-0000-0000-00006E000000}"/>
  </cellStyles>
  <dxfs count="462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78" formatCode="_(* #,##0.00000_);_(* \(#,##0.0000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80" formatCode="_(* #,##0.0_);_(* \(#,##0.0\);_(* &quot;-&quot;??_);_(@_)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78" formatCode="_(* #,##0.00000_);_(* \(#,##0.00000\);_(* &quot;-&quot;??_);_(@_)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80" formatCode="_(* #,##0.0_);_(* \(#,##0.0\);_(* &quot;-&quot;??_);_(@_)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EEDA87-C1C6-4407-A2B2-1A76A47D8212}" name="FY26_FE_Data_April15" displayName="FY26_FE_Data_April15" ref="A1:HU169" totalsRowCount="1" headerRowDxfId="461" dataDxfId="460" totalsRowDxfId="459">
  <sortState xmlns:xlrd2="http://schemas.microsoft.com/office/spreadsheetml/2017/richdata2" ref="A2:BU164">
    <sortCondition ref="A1:A164"/>
  </sortState>
  <tableColumns count="229">
    <tableColumn id="1" xr3:uid="{76E305D1-6696-4092-BD42-0DE3813B2C84}" name="ID" dataDxfId="458" totalsRowDxfId="457"/>
    <tableColumn id="2" xr3:uid="{6E73A8E2-B20C-4E8E-9282-F0FD2C519FCA}" name="Phase" dataDxfId="456" totalsRowDxfId="455"/>
    <tableColumn id="3" xr3:uid="{D81855B4-50BE-4C93-8FCE-0F627CC8E202}" name="LEA Name" dataDxfId="454" totalsRowDxfId="453"/>
    <tableColumn id="4" xr3:uid="{7679D08F-7358-4DA3-A8D0-6EB7A5F00595}" name="Type" dataDxfId="452" totalsRowDxfId="451"/>
    <tableColumn id="143" xr3:uid="{EEDC1AEE-1224-44E7-AFE7-7DF339C0BCF0}" name="In Operation in FY25?" dataDxfId="450" totalsRowDxfId="449"/>
    <tableColumn id="144" xr3:uid="{E806BED8-C640-4614-9EA5-0FDC57E85685}" name="In Operation in FY26?" dataDxfId="448" totalsRowDxfId="447"/>
    <tableColumn id="229" xr3:uid="{028DBEB7-5175-4047-8748-F07E9887E9EA}" name="In Operation in FY27" dataDxfId="446" totalsRowDxfId="445"/>
    <tableColumn id="61" xr3:uid="{89DDB93B-1FA1-4C50-A0C0-130C04E0A8E1}" name="FY22ADM - SPED Resource" totalsRowFunction="sum" dataDxfId="444" totalsRowDxfId="443" dataCellStyle="Comma"/>
    <tableColumn id="62" xr3:uid="{3E5F1F38-22FC-45E3-9589-D7674016D532}" name="FY22ADM - SPED Self-Contained" totalsRowFunction="sum" dataDxfId="442" totalsRowDxfId="441" dataCellStyle="Comma"/>
    <tableColumn id="212" xr3:uid="{B01AF1B3-66CE-4BC6-B0D2-05EB399CA65F}" name="FY22 ADM - Total SPED" totalsRowFunction="sum" dataDxfId="440" totalsRowDxfId="439" dataCellStyle="Comma"/>
    <tableColumn id="66" xr3:uid="{755BA784-FD7F-42F6-B31C-9CA281DB6601}" name="Oct 1, 2022 - K" totalsRowFunction="sum" dataDxfId="438" totalsRowDxfId="437" dataCellStyle="Comma"/>
    <tableColumn id="67" xr3:uid="{C6D4D0DA-58A7-4487-A668-2AE287402C14}" name="Oct 1, 2022 - Grades 1-6" totalsRowFunction="sum" dataDxfId="436" totalsRowDxfId="435" dataCellStyle="Comma"/>
    <tableColumn id="68" xr3:uid="{0C1C5E62-B950-419D-967D-C7099A3B06DB}" name="Oct 1, 2022 - Grades 7-8" totalsRowFunction="sum" dataDxfId="434" totalsRowDxfId="433" dataCellStyle="Comma"/>
    <tableColumn id="69" xr3:uid="{9582BDB0-F444-4474-B1DE-6072CFF343AB}" name="Oct 1, 2022 - Grades 9-12" totalsRowFunction="sum" dataDxfId="432" totalsRowDxfId="431" dataCellStyle="Comma"/>
    <tableColumn id="70" xr3:uid="{974FE81D-14A5-47D5-9451-86B4783113D8}" name="Oct 1, 2022 - Grades K-12" totalsRowFunction="sum" dataDxfId="430" totalsRowDxfId="429" dataCellStyle="Comma"/>
    <tableColumn id="71" xr3:uid="{5AE2C6D2-F2B4-4102-9171-3ABD378C04A7}" name="Oct 1, 2022 - Grades 1-12" totalsRowFunction="sum" dataDxfId="428" totalsRowDxfId="427" dataCellStyle="Comma"/>
    <tableColumn id="72" xr3:uid="{38D32148-2A42-468C-B42E-BE144E910DCB}" name="Oct 1, 2022 - Grades K-8" totalsRowFunction="sum" dataDxfId="426" totalsRowDxfId="425" dataCellStyle="Comma"/>
    <tableColumn id="74" xr3:uid="{DDD9C413-10BC-4D16-9A52-304A57AEEBEE}" name="Oct 1, 2022 - Self-Contained" totalsRowFunction="sum" dataDxfId="424" totalsRowDxfId="423" dataCellStyle="Comma"/>
    <tableColumn id="5" xr3:uid="{9172EAC3-A45A-4664-8233-59577D912217}" name="FY23 ADM - K" totalsRowFunction="sum" dataDxfId="422" totalsRowDxfId="421"/>
    <tableColumn id="6" xr3:uid="{04295831-D1DC-4BB5-83C8-6C6AEA065DBF}" name="FY23 ADM - Grade 1" totalsRowFunction="sum" dataDxfId="420" totalsRowDxfId="419"/>
    <tableColumn id="7" xr3:uid="{6A1B6438-254F-4F9E-BB11-9571F90EFA23}" name="FY23 ADM - Grade 2" totalsRowFunction="sum" dataDxfId="418" totalsRowDxfId="417"/>
    <tableColumn id="8" xr3:uid="{3374CDC6-E93F-4B1B-9368-04F675F24049}" name="FY23 ADM - Grade 3" totalsRowFunction="sum" dataDxfId="416" totalsRowDxfId="415"/>
    <tableColumn id="9" xr3:uid="{3D6FBCB3-2B33-4703-B3A1-16139516F01D}" name="FY23 ADM - Grade 4" totalsRowFunction="sum" dataDxfId="414" totalsRowDxfId="413"/>
    <tableColumn id="10" xr3:uid="{9A99E9F4-8E50-41CD-9BF9-548E74051882}" name="FY23 ADM - Grade 5" totalsRowFunction="sum" dataDxfId="412" totalsRowDxfId="411"/>
    <tableColumn id="11" xr3:uid="{1DE1F6D3-82C3-4241-8F22-363AD4E85774}" name="FY23 ADM - Grade 6" totalsRowFunction="sum" dataDxfId="410" totalsRowDxfId="409"/>
    <tableColumn id="12" xr3:uid="{83B7D35F-3349-42F4-AFA5-5AF093C8BA9E}" name="FY23 ADM - Grade 7" totalsRowFunction="sum" dataDxfId="408" totalsRowDxfId="407"/>
    <tableColumn id="13" xr3:uid="{891243BE-C6D8-4D73-A433-1C3711E19A9A}" name="FY23 ADM - Grade 8" totalsRowFunction="sum" dataDxfId="406" totalsRowDxfId="405"/>
    <tableColumn id="14" xr3:uid="{26EF9A26-E722-46C9-B451-CE5B9812DDA1}" name="FY23 ADM - Grade 9" totalsRowFunction="sum" dataDxfId="404" totalsRowDxfId="403"/>
    <tableColumn id="15" xr3:uid="{C7A8E7BC-9B56-49D7-8933-DA5AAB3970D2}" name="FY23 ADM - Grade 10" totalsRowFunction="sum" dataDxfId="402" totalsRowDxfId="401"/>
    <tableColumn id="16" xr3:uid="{E4389C89-E14B-44A6-BD14-23AD3AACBAC1}" name="FY23 ADM - Grade 11" totalsRowFunction="sum" dataDxfId="400" totalsRowDxfId="399"/>
    <tableColumn id="17" xr3:uid="{5624BBEC-FD80-4F77-ABDE-EB1FE56CA966}" name="FY23 ADM - Grade 12" totalsRowFunction="sum" dataDxfId="398" totalsRowDxfId="397"/>
    <tableColumn id="31" xr3:uid="{67A971F4-4C56-47E7-B0B3-F9BE36E9747A}" name="FY23 ADM - Grades 1-6" totalsRowFunction="sum" dataDxfId="396" totalsRowDxfId="395"/>
    <tableColumn id="32" xr3:uid="{37EAA167-DB75-490F-8C8A-CF435A3DAEDD}" name="FY23 ADM - Grades 7-8" totalsRowFunction="sum" dataDxfId="394" totalsRowDxfId="393"/>
    <tableColumn id="33" xr3:uid="{B577B2AD-EBB9-46BE-922C-B25920958231}" name="FY23 ADM - Grades 9-12" totalsRowFunction="sum" dataDxfId="392" totalsRowDxfId="391"/>
    <tableColumn id="42" xr3:uid="{250E0A26-99A7-4583-A57A-6832E9D3417E}" name="FY23 ADM - Grades K-8" totalsRowFunction="sum" dataDxfId="390" totalsRowDxfId="389"/>
    <tableColumn id="44" xr3:uid="{9CDEF1B2-D041-41C9-80D9-9B1CA8FD237B}" name="FY23 ADM - Grades 1-12" totalsRowFunction="sum" dataDxfId="388" totalsRowDxfId="387"/>
    <tableColumn id="45" xr3:uid="{816D33B9-0E40-421F-BBB0-469C19F1201E}" name="FY23 ADM - Grades K-12" totalsRowFunction="sum" dataDxfId="386" totalsRowDxfId="385"/>
    <tableColumn id="35" xr3:uid="{F40107B4-7232-44B0-96F3-36A0AB375694}" name="FY23 ADM - SPED Resource" totalsRowFunction="sum" dataDxfId="384" totalsRowDxfId="383" dataCellStyle="Comma"/>
    <tableColumn id="36" xr3:uid="{A20CFBB0-4278-42EB-AD26-4EFD09FCC15E}" name="FY23 ADM - SPED Self-Contained" totalsRowFunction="sum" dataDxfId="382" totalsRowDxfId="381" dataCellStyle="Comma"/>
    <tableColumn id="64" xr3:uid="{F5D86608-3C47-41BA-B868-2323F214CC89}" name="FY23 ADM - Total SPED" totalsRowFunction="sum" dataDxfId="380" totalsRowDxfId="379" dataCellStyle="Comma"/>
    <tableColumn id="214" xr3:uid="{45B88674-4C9E-405B-85DD-9E5554A984DE}" name="FY23 ADM - K-12 + SC" totalsRowFunction="sum" dataDxfId="378" totalsRowDxfId="377" dataCellStyle="Comma"/>
    <tableColumn id="18" xr3:uid="{CE1F1784-972F-424E-8694-CD6CE0CB0095}" name="Oct. 1, 2023 - K" totalsRowFunction="sum" dataDxfId="376" totalsRowDxfId="375" dataCellStyle="Comma"/>
    <tableColumn id="19" xr3:uid="{F7F22B54-BB1F-43D1-8BDC-C535D17BB7CF}" name="Oct. 1, 2023 - Grade 1" totalsRowFunction="sum" dataDxfId="374" totalsRowDxfId="373"/>
    <tableColumn id="20" xr3:uid="{C703EEEA-8576-49C6-8715-304E791A2E92}" name="Oct. 1, 2023 - Grade 2" totalsRowFunction="sum" dataDxfId="372" totalsRowDxfId="371"/>
    <tableColumn id="21" xr3:uid="{8F27C39A-63DF-4FCC-993F-B9E52EA9EBF2}" name="Oct. 1, 2023 - Grade 3" totalsRowFunction="sum" dataDxfId="370" totalsRowDxfId="369"/>
    <tableColumn id="22" xr3:uid="{8553671A-FCC5-4EE1-9831-E2BEDD77B7B8}" name="Oct. 1, 2023 - Grade 4" totalsRowFunction="sum" dataDxfId="368" totalsRowDxfId="367"/>
    <tableColumn id="23" xr3:uid="{3783A8DD-586A-412F-AE7D-8C5F0D474DC4}" name="Oct. 1, 2023 - Grade 5" totalsRowFunction="sum" dataDxfId="366" totalsRowDxfId="365"/>
    <tableColumn id="24" xr3:uid="{AA1C0094-2F47-488E-A21C-1F3A253F4BEA}" name="Oct. 1, 2023 - Grade 6" totalsRowFunction="sum" dataDxfId="364" totalsRowDxfId="363"/>
    <tableColumn id="25" xr3:uid="{0F1B2006-2C6F-483D-B6E5-0F7D10B5894A}" name="Oct. 1, 2023 - Grade 7" totalsRowFunction="sum" dataDxfId="362" totalsRowDxfId="361"/>
    <tableColumn id="26" xr3:uid="{66199A37-34AA-451B-9092-30312B03F9BF}" name="Oct. 1, 2023 - Grade 8" totalsRowFunction="sum" dataDxfId="360" totalsRowDxfId="359"/>
    <tableColumn id="27" xr3:uid="{85D24D0B-ACF5-42AE-BC8D-9F34F208F85E}" name="Oct. 1, 2023 - Grade 9" totalsRowFunction="sum" dataDxfId="358" totalsRowDxfId="357"/>
    <tableColumn id="28" xr3:uid="{DF0E3199-0187-42DE-B96C-2A7740F38AF0}" name="Oct. 1, 2023 - Grade 10" totalsRowFunction="sum" dataDxfId="356" totalsRowDxfId="355"/>
    <tableColumn id="29" xr3:uid="{48682D84-3723-4A30-8034-DD8DC65F7C47}" name="Oct. 1, 2023 - Grade 11" totalsRowFunction="sum" dataDxfId="354" totalsRowDxfId="353"/>
    <tableColumn id="30" xr3:uid="{A522B234-7D83-4165-B6F9-C647DD314A21}" name="Oct. 1, 2023 - Grade 12" totalsRowFunction="sum" dataDxfId="352" totalsRowDxfId="351"/>
    <tableColumn id="37" xr3:uid="{DF18642F-9ECB-431B-81A9-7798CCF98C9C}" name="Oct. 1, 2023 - Grades 1-6" totalsRowFunction="sum" dataDxfId="350" totalsRowDxfId="349"/>
    <tableColumn id="39" xr3:uid="{76F61461-E473-41F8-97FD-9C45C9BFF55D}" name="Oct. 1, 2023 - Grades 7-8" totalsRowFunction="sum" dataDxfId="348" totalsRowDxfId="347"/>
    <tableColumn id="40" xr3:uid="{A7C8DCAF-4E8D-45F1-8228-2A7A07705EF2}" name="Oct. 1, 2023 - Grades 9-12" totalsRowFunction="sum" dataDxfId="346" totalsRowDxfId="345"/>
    <tableColumn id="46" xr3:uid="{8D7781BF-966C-44FB-B02F-FAFD3EB7339D}" name="Oct. 1, 2023 - Grades K-8" totalsRowFunction="sum" dataDxfId="344" totalsRowDxfId="343"/>
    <tableColumn id="47" xr3:uid="{656FC000-A1D0-4600-937F-C890701C8B4C}" name="Oct. 1, 2023 - Grades 1-12" totalsRowFunction="sum" dataDxfId="342" totalsRowDxfId="341"/>
    <tableColumn id="48" xr3:uid="{5CB60932-F3B2-49CB-98BD-1BD9F47C5432}" name="Oct. 1, 2023 - Grades K-12" totalsRowFunction="sum" dataDxfId="340" totalsRowDxfId="339"/>
    <tableColumn id="63" xr3:uid="{C7C2118E-44C8-4ED7-A0AD-9AB239E867EB}" name="Oct. 1, 2023 - FDK Counts" totalsRowFunction="sum" dataDxfId="338" totalsRowDxfId="337"/>
    <tableColumn id="73" xr3:uid="{99D3A66B-5A28-4F34-A8C1-B3FEC7BF5BEA}" name="Oct. 1, 2023 - HDK Counts" totalsRowFunction="sum" dataDxfId="336" totalsRowDxfId="335"/>
    <tableColumn id="58" xr3:uid="{1AF908E8-7864-4A92-8C1D-FA0DC0BFCAFC}" name="Oct. 1, 2023 - Foreign Exchange" totalsRowFunction="sum" dataDxfId="334" totalsRowDxfId="333"/>
    <tableColumn id="59" xr3:uid="{185A39C3-83A9-473A-8DEA-4F5CDF173D4C}" name="Oct. 1, 2023 - Econ. Disadv." totalsRowFunction="sum" dataDxfId="332" totalsRowDxfId="331"/>
    <tableColumn id="60" xr3:uid="{52943918-C4EA-40BF-80C9-B3E4FB00A6C1}" name="Oct. 1, 2023 - SPED Resource" totalsRowFunction="sum" dataDxfId="330" totalsRowDxfId="329"/>
    <tableColumn id="34" xr3:uid="{ABC1CD7F-AE5E-43C8-998E-1CB11D6817AA}" name="Oct. 1, 2023 - SPED Self-Contained" totalsRowFunction="sum" dataDxfId="328" totalsRowDxfId="327" dataCellStyle="Comma"/>
    <tableColumn id="38" xr3:uid="{39DE7AA0-80AA-4166-AC75-C52D9CFFE3B5}" name="Oct. 1, 2023 - Total SPED" totalsRowFunction="sum" dataDxfId="326" totalsRowDxfId="325" dataCellStyle="Comma"/>
    <tableColumn id="65" xr3:uid="{348C0A55-F591-45DC-8635-A9971496C7A1}" name="Oct. 1, 2023 - LEP" totalsRowFunction="sum" dataDxfId="324" totalsRowDxfId="323" dataCellStyle="Comma"/>
    <tableColumn id="41" xr3:uid="{CEC53374-D292-412B-A070-3314D1A5BA7C}" name="Prostaff Ratios" totalsRowFunction="sum" dataDxfId="322" totalsRowDxfId="321" dataCellStyle="Comma"/>
    <tableColumn id="49" xr3:uid="{189FC032-5414-4368-8EC4-4CB8C0F7C97C}" name="ESA - All - FY24" totalsRowFunction="sum" dataDxfId="320" totalsRowDxfId="319" dataCellStyle="Comma"/>
    <tableColumn id="50" xr3:uid="{248A61C1-45E5-44AA-B65A-5D48132FB1F8}" name="ESA - Educators Only - FY24" totalsRowFunction="sum" dataDxfId="318" totalsRowDxfId="317" dataCellStyle="Comma"/>
    <tableColumn id="51" xr3:uid="{74BAD7C2-4F7D-4C62-9E2D-FBB6A75EF5BF}" name="TSM FTE - FY24" totalsRowFunction="sum" dataDxfId="316" totalsRowDxfId="315" dataCellStyle="Comma"/>
    <tableColumn id="52" xr3:uid="{DCA8BBE8-76EF-4776-B9EA-2977B2015BB0}" name="Educ. Prof. Hrs. FTE - FY24" totalsRowFunction="sum" dataDxfId="314" totalsRowDxfId="313" dataCellStyle="Comma"/>
    <tableColumn id="75" xr3:uid="{3AEAFDFB-81A1-4A03-875B-11F004D9D0E9}" name="Oct 1 2020 Counts - Online Students &gt;180 Days " totalsRowFunction="sum" dataDxfId="312" totalsRowDxfId="311" dataCellStyle="Comma"/>
    <tableColumn id="76" xr3:uid="{7F188CEB-73BA-4EE1-9655-3ECACA12DA44}" name="Oct 1 2023 Counts - Online Students &gt;180 Days in FY2023/Still Online on Oct 1" totalsRowFunction="sum" dataDxfId="310" totalsRowDxfId="309" dataCellStyle="Comma"/>
    <tableColumn id="77" xr3:uid="{D650A725-E390-446C-AF3B-615D32746CCF}" name="FY23 ADM - Online Students &gt;180 Days " totalsRowFunction="sum" dataDxfId="308" totalsRowDxfId="307" dataCellStyle="Comma"/>
    <tableColumn id="79" xr3:uid="{22F2A0A5-4FE5-4E1F-98BB-234F8B1A7439}" name="FY24 ADM - Half Day K" totalsRowFunction="sum" dataDxfId="306" totalsRowDxfId="305" dataCellStyle="Comma"/>
    <tableColumn id="101" xr3:uid="{15A8F3F8-EBC4-4BCC-806F-C0D4EB2B799A}" name="FY24 ADM - Full Day K" totalsRowFunction="sum" dataDxfId="304" totalsRowDxfId="303" dataCellStyle="Comma"/>
    <tableColumn id="102" xr3:uid="{6F528F70-7849-4A91-9B08-963B69F71E3D}" name="FY24 ADM - Total K" totalsRowFunction="sum" dataDxfId="302" totalsRowDxfId="301" dataCellStyle="Comma"/>
    <tableColumn id="85" xr3:uid="{D4CF69C7-3E15-4C90-967B-80E1D05C3661}" name="FY24 ADM - Grade 1" totalsRowFunction="sum" dataDxfId="300" totalsRowDxfId="299" dataCellStyle="Comma"/>
    <tableColumn id="91" xr3:uid="{5897F155-F34F-41D1-BD7F-3FE7640AE871}" name="FY24 ADM - Grade 2" totalsRowFunction="sum" dataDxfId="298" totalsRowDxfId="297" dataCellStyle="Comma"/>
    <tableColumn id="92" xr3:uid="{778DD8FB-67E7-4D10-B2D9-57673B5D9147}" name="FY24 ADM - Grade 3" totalsRowFunction="sum" dataDxfId="296" totalsRowDxfId="295" dataCellStyle="Comma"/>
    <tableColumn id="93" xr3:uid="{0F9CC3CF-9310-4D00-A306-E64BAF3BBA50}" name="FY24 ADM - Grade 4" totalsRowFunction="sum" dataDxfId="294" totalsRowDxfId="293" dataCellStyle="Comma"/>
    <tableColumn id="94" xr3:uid="{01EFC725-6128-4646-AC81-2055D1A3074D}" name="FY24 ADM - Grade 5" totalsRowFunction="sum" dataDxfId="292" totalsRowDxfId="291" dataCellStyle="Comma"/>
    <tableColumn id="95" xr3:uid="{70871024-A3BD-452A-A719-FD0D00AF57E1}" name="FY24 ADM - Grade 6" totalsRowFunction="sum" dataDxfId="290" totalsRowDxfId="289" dataCellStyle="Comma"/>
    <tableColumn id="96" xr3:uid="{BE715C34-F859-49F0-8250-20A579796382}" name="FY24 ADM - Grade 7" totalsRowFunction="sum" dataDxfId="288" totalsRowDxfId="287" dataCellStyle="Comma"/>
    <tableColumn id="99" xr3:uid="{C5DA8B72-6B43-4733-957D-7906A08E3ABB}" name="FY24 ADM - Grade 8" totalsRowFunction="sum" dataDxfId="286" totalsRowDxfId="285" dataCellStyle="Comma"/>
    <tableColumn id="100" xr3:uid="{2E1E593C-5E94-402C-8180-C5B43971644F}" name="FY24 ADM - Grade 9" totalsRowFunction="sum" dataDxfId="284" totalsRowDxfId="283" dataCellStyle="Comma"/>
    <tableColumn id="97" xr3:uid="{35BAEEAF-62A5-4EDF-BA9A-0A7B09109387}" name="FY24 ADM - Grade 10" totalsRowFunction="sum" dataDxfId="282" totalsRowDxfId="281" dataCellStyle="Comma"/>
    <tableColumn id="98" xr3:uid="{5A5FBE99-8394-462F-92AF-C3F45BE7A0F8}" name="FY24 ADM - Grade 11" totalsRowFunction="sum" dataDxfId="280" totalsRowDxfId="279" dataCellStyle="Comma"/>
    <tableColumn id="86" xr3:uid="{0E275F7E-BC15-409E-A5A5-4555367262A3}" name="FY24 ADM - Grade 12" totalsRowFunction="sum" dataDxfId="278" totalsRowDxfId="277" dataCellStyle="Comma"/>
    <tableColumn id="87" xr3:uid="{FD7CBA49-8227-4BF1-8618-1E4972B4BB05}" name="FY24 ADM - Grades 1-6" totalsRowFunction="sum" dataDxfId="276" totalsRowDxfId="275" dataCellStyle="Comma"/>
    <tableColumn id="88" xr3:uid="{68824ABA-C88F-4605-AD33-2A2E1C9024CA}" name="FY24 ADM - Grades 7-8" totalsRowFunction="sum" dataDxfId="274" totalsRowDxfId="273" dataCellStyle="Comma"/>
    <tableColumn id="89" xr3:uid="{2D1009C8-F877-4C8C-9823-DBBAA25F5EEB}" name="FY24 ADM - Grades 9-12" totalsRowFunction="sum" dataDxfId="272" totalsRowDxfId="271" dataCellStyle="Comma"/>
    <tableColumn id="80" xr3:uid="{33101076-E1F9-479E-928C-B7C48F30D6C0}" name="FY24 ADM - Grades K-8" totalsRowFunction="sum" dataDxfId="270" totalsRowDxfId="269" dataCellStyle="Comma"/>
    <tableColumn id="81" xr3:uid="{7E9BF35D-1527-4277-9E95-367DC7835C34}" name="FY24 ADM - Grades 1-12" totalsRowFunction="sum" dataDxfId="268" totalsRowDxfId="267" dataCellStyle="Comma"/>
    <tableColumn id="82" xr3:uid="{7BB34186-0B49-4102-A861-7C65EF381600}" name="FY24 ADM - Grades K-12" totalsRowFunction="sum" dataDxfId="266" totalsRowDxfId="265" dataCellStyle="Comma"/>
    <tableColumn id="83" xr3:uid="{488F4DF6-A0D5-4D11-8288-6D5713A609B0}" name="FY24 ADM - SPED Resource" totalsRowFunction="sum" dataDxfId="264" totalsRowDxfId="263" dataCellStyle="Comma"/>
    <tableColumn id="90" xr3:uid="{111372D5-6CF9-4C09-B389-088104A94C07}" name="FY24 ADM - SPED Self-Contained" totalsRowFunction="sum" dataDxfId="262" totalsRowDxfId="261" dataCellStyle="Comma"/>
    <tableColumn id="84" xr3:uid="{67550B50-CF37-4BFC-9E5E-513C2B3AD24C}" name="FY24 ADM - Total SPED" totalsRowFunction="sum" dataDxfId="260" totalsRowDxfId="259" dataCellStyle="Comma"/>
    <tableColumn id="213" xr3:uid="{7D96C690-7657-449D-888E-1A4E88458FB2}" name="FY24 ADM - K-12 + SC" totalsRowFunction="sum" dataDxfId="258" totalsRowDxfId="257" dataCellStyle="Comma"/>
    <tableColumn id="138" xr3:uid="{71AC84D4-92DE-426C-B2A3-2B81B95A75E2}" name="FY24 ADM - Online Students - Online All 180 Days" totalsRowFunction="sum" dataDxfId="256" totalsRowDxfId="255" dataCellStyle="Comma"/>
    <tableColumn id="131" xr3:uid="{66535CF2-EEC5-4F7D-A880-98F00E4EF941}" name="Oct. 1, 2024 - FDK" totalsRowFunction="sum" dataDxfId="254" totalsRowDxfId="253" dataCellStyle="Comma"/>
    <tableColumn id="128" xr3:uid="{05C8A754-C62D-4824-8360-5496376A7DC3}" name="Oct. 1, 2024 - HDK" totalsRowFunction="sum" dataDxfId="252" totalsRowDxfId="251" dataCellStyle="Comma"/>
    <tableColumn id="129" xr3:uid="{0CA27994-FF2E-402C-B8FC-EF4D467F9244}" name="Oct. 1, 2024 - Total K" totalsRowFunction="sum" dataDxfId="250" totalsRowDxfId="249" dataCellStyle="Comma"/>
    <tableColumn id="130" xr3:uid="{3E8BBDFB-E6B8-4652-A69C-54CB0BE7C2B8}" name="Oct. 1, 2024 - Grade 1" totalsRowFunction="sum" dataDxfId="248" totalsRowDxfId="247" dataCellStyle="Comma"/>
    <tableColumn id="125" xr3:uid="{7B2371C9-FC5D-4538-8894-043B8BFAF574}" name="Oct. 1, 2024 - Grade 2" totalsRowFunction="sum" dataDxfId="246" totalsRowDxfId="245" dataCellStyle="Comma"/>
    <tableColumn id="126" xr3:uid="{7FEBEDB5-2BF3-40B8-BBD8-E23DFF17C7F2}" name="Oct. 1, 2024 - Grade 3" totalsRowFunction="sum" dataDxfId="244" totalsRowDxfId="243" dataCellStyle="Comma"/>
    <tableColumn id="127" xr3:uid="{5C0DC1FD-1E0C-4BB8-ADA1-4B334B70BB2D}" name="Oct. 1, 2024 - Grade 4" totalsRowFunction="sum" dataDxfId="242" totalsRowDxfId="241" dataCellStyle="Comma"/>
    <tableColumn id="122" xr3:uid="{5E41D5B8-221B-49C7-B102-B2D2BAB3EDEB}" name="Oct. 1, 2024 - Grade 5" totalsRowFunction="sum" dataDxfId="240" totalsRowDxfId="239" dataCellStyle="Comma"/>
    <tableColumn id="123" xr3:uid="{AEF98638-DE53-4212-87CD-5E972824E900}" name="Oct. 1, 2024 - Grade 6" totalsRowFunction="sum" dataDxfId="238" totalsRowDxfId="237" dataCellStyle="Comma"/>
    <tableColumn id="124" xr3:uid="{43C97B2C-F9EF-4BEB-9342-34C63CD06A14}" name="Oct. 1, 2024 - Grade 7" totalsRowFunction="sum" dataDxfId="236" totalsRowDxfId="235" dataCellStyle="Comma"/>
    <tableColumn id="119" xr3:uid="{123044FB-73B2-43CC-9C22-28D3FC858575}" name="Oct. 1, 2024 - Grade 8" totalsRowFunction="sum" dataDxfId="234" totalsRowDxfId="233" dataCellStyle="Comma"/>
    <tableColumn id="120" xr3:uid="{7BF89003-71D3-4663-843C-BEB637312C2D}" name="Oct. 1, 2024 - Grade 9" totalsRowFunction="sum" dataDxfId="232" totalsRowDxfId="231" dataCellStyle="Comma"/>
    <tableColumn id="121" xr3:uid="{49AC50A6-ED5F-4545-B227-E1BED800D88C}" name="Oct. 1, 2024 - Grade 10" totalsRowFunction="sum" dataDxfId="230" totalsRowDxfId="229" dataCellStyle="Comma"/>
    <tableColumn id="116" xr3:uid="{4F83FFD7-346E-4135-AB00-87BF4025C6E2}" name="Oct. 1, 2024 - Grade 11" totalsRowFunction="sum" dataDxfId="228" totalsRowDxfId="227" dataCellStyle="Comma"/>
    <tableColumn id="117" xr3:uid="{363E6E7A-CC0E-4D07-8377-85F640EA6AFF}" name="Oct. 1, 2024 - Grade 12" totalsRowFunction="sum" dataDxfId="226" totalsRowDxfId="225" dataCellStyle="Comma"/>
    <tableColumn id="118" xr3:uid="{6BB003E0-71D6-48F2-A5B2-27C4871EBF2D}" name="Oct. 1, 2024 - Grades 1-6" totalsRowFunction="sum" dataDxfId="224" totalsRowDxfId="223" dataCellStyle="Comma"/>
    <tableColumn id="113" xr3:uid="{7EA712CC-BB73-46EB-A97D-F39B92D29B72}" name="Oct. 1, 2024 - Grades 7-8" totalsRowFunction="sum" dataDxfId="222" totalsRowDxfId="221" dataCellStyle="Comma"/>
    <tableColumn id="114" xr3:uid="{5476FF53-D42F-4A0D-A7D5-F5ECBC050D7D}" name="Oct. 1, 2024 - Grades 9-12" totalsRowFunction="sum" dataDxfId="220" totalsRowDxfId="219" dataCellStyle="Comma"/>
    <tableColumn id="115" xr3:uid="{A4B722A4-373D-4E07-81BA-CBF0A16837D9}" name="Oct. 1, 2024 - Grades K-8" totalsRowFunction="sum" dataDxfId="218" totalsRowDxfId="217" dataCellStyle="Comma"/>
    <tableColumn id="110" xr3:uid="{9675A9E4-814F-48D0-8AC6-77E8096C7C32}" name="Oct. 1, 2024 - Grades 1-12" totalsRowFunction="sum" dataDxfId="216" totalsRowDxfId="215" dataCellStyle="Comma"/>
    <tableColumn id="111" xr3:uid="{192111EF-853E-48A2-9691-75B5F608E545}" name="Oct. 1, 2024 - Grades K-12" totalsRowFunction="sum" dataDxfId="214" totalsRowDxfId="213" dataCellStyle="Comma"/>
    <tableColumn id="112" xr3:uid="{8F73488F-317E-4132-BE34-7CB4F768F7D0}" name="Oct. 1, 2024 - Foreign Exchange" totalsRowFunction="sum" dataDxfId="212" totalsRowDxfId="211" dataCellStyle="Comma"/>
    <tableColumn id="107" xr3:uid="{F1BFB18E-FE9E-403D-9C22-E5B8E607EC54}" name="Oct. 1, 2024 - Econ. Disadv." totalsRowFunction="sum" dataDxfId="210" totalsRowDxfId="209" dataCellStyle="Comma"/>
    <tableColumn id="108" xr3:uid="{70A4B044-A019-4A94-B1D1-94005D9A95BA}" name="Oct. 1, 2024 - SPED Resource" totalsRowFunction="sum" dataDxfId="208" totalsRowDxfId="207" dataCellStyle="Comma"/>
    <tableColumn id="109" xr3:uid="{2463EE0E-F920-435F-8B7C-DB415C96E555}" name="Oct. 1, 2024 - SPED Self-Contained" totalsRowFunction="sum" dataDxfId="206" totalsRowDxfId="205" dataCellStyle="Comma"/>
    <tableColumn id="106" xr3:uid="{B4145043-3A1A-451F-A0D2-369058DECF9A}" name="Oct. 1, 2024 - Total SPED" totalsRowFunction="sum" dataDxfId="204" totalsRowDxfId="203" dataCellStyle="Comma"/>
    <tableColumn id="210" xr3:uid="{C68B234F-2E2D-43B0-80C8-087EEFBA6BDC}" name="Oct. 1, 2024 - K12+SC" totalsRowFunction="sum" dataDxfId="202" totalsRowDxfId="201" dataCellStyle="Comma"/>
    <tableColumn id="105" xr3:uid="{01E40E2E-3468-494D-9DAD-BCDAED337C6D}" name="Oct. 1, 2024 - LEP" totalsRowFunction="sum" dataDxfId="200" totalsRowDxfId="199" dataCellStyle="Comma"/>
    <tableColumn id="135" xr3:uid="{A120FF3F-E496-4D5B-B04A-C05AED8BB9F6}" name="ESA - All - FY25" totalsRowFunction="sum" dataDxfId="198" totalsRowDxfId="197" dataCellStyle="Comma"/>
    <tableColumn id="136" xr3:uid="{60F1C5A4-1AC2-4A5C-BB86-232EF6CC0E3C}" name="ESA - Educators Only - FY25" totalsRowFunction="sum" dataDxfId="196" totalsRowDxfId="195" dataCellStyle="Comma"/>
    <tableColumn id="134" xr3:uid="{2D5E81AA-C094-4549-BD5B-E624D3B39AC2}" name="TSM FTE - Elementary - FY25" totalsRowFunction="sum" dataDxfId="194" totalsRowDxfId="193" dataCellStyle="Comma"/>
    <tableColumn id="78" xr3:uid="{EE905371-21C4-44EF-846E-1D3CEF7C3AE0}" name="TSM FTE - Secondary - FY25" totalsRowFunction="sum" dataDxfId="192" totalsRowDxfId="191" dataCellStyle="Comma"/>
    <tableColumn id="103" xr3:uid="{E0A7172A-B974-4BA3-BD76-F4EFAD36BA29}" name="TSM FTE - Reg. Pre-K - FY25" totalsRowFunction="sum" dataDxfId="190" totalsRowDxfId="189" dataCellStyle="Comma"/>
    <tableColumn id="133" xr3:uid="{7AC55668-2E63-43CE-9594-21196244142C}" name="Educ. Prof. Hrs. FTE - FY25" totalsRowFunction="sum" dataDxfId="188" totalsRowDxfId="187" dataCellStyle="Comma"/>
    <tableColumn id="142" xr3:uid="{67E99099-9819-49EF-AF9E-CF45EB1B1196}" name="ProStaff Ratios - FY24 YE" totalsRowFunction="sum" dataDxfId="186" totalsRowDxfId="185" dataCellStyle="Comma"/>
    <tableColumn id="132" xr3:uid="{86CD0507-41D3-4278-BB66-C64FF8360289}" name="Oct 1 2024 Counts - Online Students &gt;=180 Days in FY2024/Still Online on Oct 1" totalsRowFunction="sum" dataDxfId="184" totalsRowDxfId="183" dataCellStyle="Comma"/>
    <tableColumn id="137" xr3:uid="{83D4334C-A375-497C-A001-E2D9A97DC83D}" name="Oct 1, 2025 (CDC) - K" totalsRowFunction="sum" dataDxfId="182" totalsRowDxfId="181" dataCellStyle="Comma"/>
    <tableColumn id="141" xr3:uid="{5BE5E8F9-FD33-4BD0-88A4-0421BCE0418B}" name="Oct 1, 2025 (CDC) - Grades 1-12" totalsRowFunction="sum" dataDxfId="180" totalsRowDxfId="179" dataCellStyle="Comma"/>
    <tableColumn id="140" xr3:uid="{84E8AE96-76E3-41A6-9D01-64CD0A3381A4}" name="Oct 1, 2025 (CDC) - Grades 1-6" totalsRowFunction="sum" dataDxfId="178" totalsRowDxfId="177" dataCellStyle="Comma"/>
    <tableColumn id="139" xr3:uid="{6AAEE0C5-7BC9-4EB2-953F-4E0680110410}" name="Oct 1, 2025 (CDC) - Grades 7-8" totalsRowFunction="sum" dataDxfId="176" totalsRowDxfId="175" dataCellStyle="Comma"/>
    <tableColumn id="104" xr3:uid="{6C0ADD69-9585-4B2F-99E5-DD756DF8B731}" name="Oct 1, 2025 (CDC) - Grades 9-12" totalsRowFunction="sum" dataDxfId="174" totalsRowDxfId="173" dataCellStyle="Comma"/>
    <tableColumn id="43" xr3:uid="{7E3FDADB-A0AD-41C9-AC01-EBA9D4328CA1}" name="Oct 1, 2025 (CDC) - Grades K-12" totalsRowFunction="sum" dataDxfId="172" totalsRowDxfId="171" dataCellStyle="Comma"/>
    <tableColumn id="53" xr3:uid="{08B50992-A3FC-462C-8F0C-78C22D8C27DA}" name="December 1, 2024 - SPED Pre-K 3-5 Count" totalsRowFunction="sum" dataDxfId="170" totalsRowDxfId="169" dataCellStyle="Comma"/>
    <tableColumn id="56" xr3:uid="{E7C0ADBE-A082-403D-96B3-70F7CC3383A8}" name="December 1, 2024 - SPED K-12" totalsRowFunction="sum" dataDxfId="168" totalsRowDxfId="167" dataCellStyle="Comma"/>
    <tableColumn id="55" xr3:uid="{8735DC93-130E-404D-9ACD-4F09759B86E6}" name="December 1, 2024 - SPED PreK-12 - All Ages" totalsRowFunction="sum" dataDxfId="166" totalsRowDxfId="165" dataCellStyle="Comma"/>
    <tableColumn id="57" xr3:uid="{43689D6E-9943-4E24-92E9-9153D6F381A6}" name="December 1, 2024 - SPED Resource" totalsRowFunction="sum" dataDxfId="164" totalsRowDxfId="163" dataCellStyle="Comma"/>
    <tableColumn id="145" xr3:uid="{EA755F94-490C-4286-95D2-37DA3F19D4F9}" name="December 1, 2024 - SPED Self-Contained" totalsRowFunction="sum" dataDxfId="162" totalsRowDxfId="161" dataCellStyle="Comma"/>
    <tableColumn id="54" xr3:uid="{64681C51-322D-446B-864A-1CFBF6EF4F5A}" name="FY24 ESY Count" totalsRowFunction="sum" dataDxfId="160" totalsRowDxfId="159" dataCellStyle="Comma"/>
    <tableColumn id="146" xr3:uid="{EF51EDDC-D8C3-44C8-BA96-1EC47FAD6458}" name="FY24 Classified FTE: Instructional Paraprofessionals" totalsRowFunction="sum" dataDxfId="158" totalsRowDxfId="157" dataCellStyle="Comma"/>
    <tableColumn id="147" xr3:uid="{E5AE6AA2-93EF-4BB7-9179-7F44C79D63B5}" name="FY24 Classified FTE: Library Paraprofessionals" totalsRowFunction="sum" dataDxfId="156" totalsRowDxfId="155" dataCellStyle="Comma"/>
    <tableColumn id="148" xr3:uid="{9D160E3F-FB86-4687-9D26-938DFEAA158A}" name="FY24 Classified FTE: School Support" totalsRowFunction="sum" dataDxfId="154" totalsRowDxfId="153" dataCellStyle="Comma"/>
    <tableColumn id="149" xr3:uid="{0A47FD2A-67EB-4901-8F6F-B020DB57F21C}" name="FY24 Classified FTE: Student Support" totalsRowFunction="sum" dataDxfId="152" totalsRowDxfId="151" dataCellStyle="Comma"/>
    <tableColumn id="150" xr3:uid="{DCD6C300-A66F-4B6F-BCE4-D43E8401398F}" name="FY24 Classified FTE: Other Support Staff" totalsRowFunction="sum" dataDxfId="150" totalsRowDxfId="149" dataCellStyle="Comma"/>
    <tableColumn id="151" xr3:uid="{6DAB165A-C5EA-4983-B0A0-8E11BE3D221C}" name="FY24 Classified FTE: All Qualifying FTE" totalsRowFunction="sum" dataDxfId="148" totalsRowDxfId="147" dataCellStyle="Comma"/>
    <tableColumn id="174" xr3:uid="{865C2115-EC6F-48B0-8705-765BDAEFFECB}" name="FY25 ADM - Half Day K" totalsRowFunction="sum" dataDxfId="146" totalsRowDxfId="145" dataCellStyle="Comma"/>
    <tableColumn id="175" xr3:uid="{98E91CCF-FA65-4647-B71D-BE22BC543A31}" name="FY25 ADM - Full Day K" totalsRowFunction="sum" dataDxfId="144" totalsRowDxfId="143" dataCellStyle="Comma"/>
    <tableColumn id="176" xr3:uid="{73EB41AE-6001-47D1-B6EF-9B109E4BE368}" name="FY25 ADM - Total K" totalsRowFunction="sum" dataDxfId="142" totalsRowDxfId="141" dataCellStyle="Comma"/>
    <tableColumn id="177" xr3:uid="{EFD84C49-C0ED-4520-9399-B1C583A7C55C}" name="FY25 ADM - Grade 1" totalsRowFunction="sum" dataDxfId="140" totalsRowDxfId="139" dataCellStyle="Comma"/>
    <tableColumn id="170" xr3:uid="{8F7E641A-C8FE-4708-A23C-83ECE119A230}" name="FY25 ADM - Grade 2" totalsRowFunction="sum" dataDxfId="138" totalsRowDxfId="137" dataCellStyle="Comma"/>
    <tableColumn id="171" xr3:uid="{F06A5F90-F08B-459A-AD2D-2B85639F4F2C}" name="FY25 ADM - Grade 3" totalsRowFunction="sum" dataDxfId="136" totalsRowDxfId="135" dataCellStyle="Comma"/>
    <tableColumn id="172" xr3:uid="{D948608E-329D-49F9-88B8-EC46079DA4FD}" name="FY25 ADM - Grade 4" totalsRowFunction="sum" dataDxfId="134" totalsRowDxfId="133" dataCellStyle="Comma"/>
    <tableColumn id="173" xr3:uid="{4EA24A15-7481-49AE-96D2-DA0EFF29B5F5}" name="FY25 ADM - Grade 5" totalsRowFunction="sum" dataDxfId="132" totalsRowDxfId="131" dataCellStyle="Comma"/>
    <tableColumn id="166" xr3:uid="{EA4A40A5-53EB-4B7D-8908-ED6B4A637429}" name="FY25 ADM - Grade 6" totalsRowFunction="sum" dataDxfId="130" totalsRowDxfId="129" dataCellStyle="Comma"/>
    <tableColumn id="167" xr3:uid="{DC066511-2ED1-4D8F-AC16-032E8ED3223D}" name="FY25 ADM - Grade 7" totalsRowFunction="sum" dataDxfId="128" totalsRowDxfId="127" dataCellStyle="Comma"/>
    <tableColumn id="168" xr3:uid="{E1AB84CA-42C2-495C-B039-CEE38545F310}" name="FY25 ADM - Grade 8" totalsRowFunction="sum" dataDxfId="126" totalsRowDxfId="125" dataCellStyle="Comma"/>
    <tableColumn id="169" xr3:uid="{55D7034B-0918-4053-BEFD-616346A95763}" name="FY25 ADM - Grade 9" totalsRowFunction="sum" dataDxfId="124" totalsRowDxfId="123" dataCellStyle="Comma"/>
    <tableColumn id="162" xr3:uid="{05C032B4-392F-4810-9FF8-ACE0AA7BC6BB}" name="FY25 ADM - Grade 10" totalsRowFunction="sum" dataDxfId="122" totalsRowDxfId="121" dataCellStyle="Comma"/>
    <tableColumn id="163" xr3:uid="{AF546EFE-0222-4799-B568-CE7DBC050F8B}" name="FY25 ADM - Grade 11" totalsRowFunction="sum" dataDxfId="120" totalsRowDxfId="119" dataCellStyle="Comma"/>
    <tableColumn id="164" xr3:uid="{A60D01AB-F0CB-450D-AE94-AB7E56CBA585}" name="FY25 ADM - Grade 12" totalsRowFunction="sum" dataDxfId="118" totalsRowDxfId="117" dataCellStyle="Comma"/>
    <tableColumn id="165" xr3:uid="{78E4B4A9-9B3C-47A2-BB27-FB5A84734666}" name="FY25 ADM - Grades 1-6" totalsRowFunction="sum" dataDxfId="116" totalsRowDxfId="115" dataCellStyle="Comma"/>
    <tableColumn id="158" xr3:uid="{E47450FB-CFC7-4E61-A22E-DFECA416391C}" name="FY25 ADM - Grades 7-8" totalsRowFunction="sum" dataDxfId="114" totalsRowDxfId="113" dataCellStyle="Comma"/>
    <tableColumn id="159" xr3:uid="{8534A514-5973-439F-9327-7C7D39CBC759}" name="FY25 ADM - Grades 9-12" totalsRowFunction="sum" dataDxfId="112" totalsRowDxfId="111" dataCellStyle="Comma"/>
    <tableColumn id="160" xr3:uid="{4419D21B-D44F-412F-B5C3-B51B7F9D231C}" name="FY25 ADM - Grades K-8" totalsRowFunction="sum" dataDxfId="110" totalsRowDxfId="109" dataCellStyle="Comma"/>
    <tableColumn id="161" xr3:uid="{511FC3ED-2788-4B3B-9B20-B43521A3306B}" name="FY25 ADM - Grades 1-12" totalsRowFunction="sum" dataDxfId="108" totalsRowDxfId="107" dataCellStyle="Comma"/>
    <tableColumn id="157" xr3:uid="{14DADF3A-7EC2-43BC-9539-A5B42D047802}" name="FY25 ADM - Grades K-12" totalsRowFunction="sum" dataDxfId="106" totalsRowDxfId="105" dataCellStyle="Comma"/>
    <tableColumn id="156" xr3:uid="{11B40978-CE4B-4FE7-B623-7C597F04C739}" name="FY25 ADM - SPED Resource" totalsRowFunction="sum" dataDxfId="104" totalsRowDxfId="103" dataCellStyle="Comma"/>
    <tableColumn id="155" xr3:uid="{526BD127-509A-44AD-8DC3-D7D6E75BBE1A}" name="FY25 ADM - SPED Self-Contained" totalsRowFunction="sum" dataDxfId="102" totalsRowDxfId="101" dataCellStyle="Comma"/>
    <tableColumn id="154" xr3:uid="{7A3538DC-0ECB-4AE7-85FB-BBD9FC0631E5}" name="FY25 ADM - Total SPED" totalsRowFunction="sum" dataDxfId="100" totalsRowDxfId="99" dataCellStyle="Comma"/>
    <tableColumn id="215" xr3:uid="{E8498407-9839-467C-9377-FB8EC9E91C11}" name="FY25 ADM - K-12 + SC" totalsRowFunction="sum" dataDxfId="98" totalsRowDxfId="97" dataCellStyle="Comma"/>
    <tableColumn id="202" xr3:uid="{82CBDF8C-6FB6-42C7-AD87-73586B6FC415}" name="Oct. 1, 2025 - HDK" totalsRowFunction="sum" dataDxfId="96" totalsRowDxfId="95" dataCellStyle="Comma"/>
    <tableColumn id="201" xr3:uid="{22EA7123-CBE3-48B2-B343-86D79E169CAA}" name="Oct. 1, 2025 - FDK" totalsRowFunction="sum" dataDxfId="94" totalsRowDxfId="93" dataCellStyle="Comma"/>
    <tableColumn id="195" xr3:uid="{427209C1-D264-4EAF-AA37-6270E0C97004}" name="Oct. 1, 2025 - Total K" totalsRowFunction="sum" dataDxfId="92" totalsRowDxfId="91" dataCellStyle="Comma"/>
    <tableColumn id="196" xr3:uid="{9C5B3574-F0AE-41FE-B8B5-CF9788D6F4C6}" name="Oct. 1, 2025 - Grade 1" totalsRowFunction="sum" dataDxfId="90" totalsRowDxfId="89" dataCellStyle="Comma"/>
    <tableColumn id="197" xr3:uid="{BAF931FE-449C-4CB9-91D5-3845910D2A72}" name="Oct. 1, 2025 - Grade 2" totalsRowFunction="sum" dataDxfId="88" totalsRowDxfId="87" dataCellStyle="Comma"/>
    <tableColumn id="198" xr3:uid="{7094C448-2B38-4023-88AD-F29AF50A0592}" name="Oct. 1, 2025 - Grade 3" totalsRowFunction="sum" dataDxfId="86" totalsRowDxfId="85" dataCellStyle="Comma"/>
    <tableColumn id="199" xr3:uid="{36867F63-33D9-4E13-930B-98D7293E04D2}" name="Oct. 1, 2025 - Grade 4" totalsRowFunction="sum" dataDxfId="84" totalsRowDxfId="83" dataCellStyle="Comma"/>
    <tableColumn id="200" xr3:uid="{003E50C9-5D25-4F08-93E1-AEF2652E8C01}" name="Oct. 1, 2025 - Grade 5" totalsRowFunction="sum" dataDxfId="82" totalsRowDxfId="81" dataCellStyle="Comma"/>
    <tableColumn id="189" xr3:uid="{F20E9622-6C13-4E59-9BED-62808DA8E985}" name="Oct. 1, 2025 - Grade 6" totalsRowFunction="sum" dataDxfId="80" totalsRowDxfId="79" dataCellStyle="Comma"/>
    <tableColumn id="190" xr3:uid="{F3F90708-D602-4669-902B-66B5CC838330}" name="Oct. 1, 2025 - Grade 7" totalsRowFunction="sum" dataDxfId="78" totalsRowDxfId="77" dataCellStyle="Comma"/>
    <tableColumn id="191" xr3:uid="{A2CA6A65-18B2-47C9-B5EA-0BDCB3B1F604}" name="Oct. 1, 2025 - Grade 8" totalsRowFunction="sum" dataDxfId="76" totalsRowDxfId="75" dataCellStyle="Comma"/>
    <tableColumn id="192" xr3:uid="{E599BA7E-B5F8-486E-AF1C-B529E7863CD5}" name="Oct. 1, 2025 - Grade 9" totalsRowFunction="sum" dataDxfId="74" totalsRowDxfId="73" dataCellStyle="Comma"/>
    <tableColumn id="193" xr3:uid="{07742D36-828A-490D-9FA1-BDCA55383126}" name="Oct. 1, 2025 - Grade 10" totalsRowFunction="sum" dataDxfId="72" totalsRowDxfId="71" dataCellStyle="Comma"/>
    <tableColumn id="194" xr3:uid="{2E0647F0-EF4F-468F-B95F-0FC7A631BE9F}" name="Oct. 1, 2025 - Grade 11" totalsRowFunction="sum" dataDxfId="70" totalsRowDxfId="69" dataCellStyle="Comma"/>
    <tableColumn id="183" xr3:uid="{4A828432-876B-41DF-AECC-84C51C6D83DD}" name="Oct. 1, 2025 - Grade 12" totalsRowFunction="sum" dataDxfId="68" totalsRowDxfId="67" dataCellStyle="Comma"/>
    <tableColumn id="184" xr3:uid="{31A36777-E9F1-4940-BD9A-A639F988929C}" name="Oct. 1, 2025 - Grades 1-6" totalsRowFunction="sum" dataDxfId="66" totalsRowDxfId="65" dataCellStyle="Comma"/>
    <tableColumn id="185" xr3:uid="{16D56ABB-52D5-4EF7-8162-C32FD1FD0B6D}" name="Oct. 1, 2025 - Grades 7-8" totalsRowFunction="sum" dataDxfId="64" totalsRowDxfId="63" dataCellStyle="Comma"/>
    <tableColumn id="186" xr3:uid="{5E618C1E-AC5C-4DB5-BFA0-F65944C33773}" name="Oct. 1, 2025 - Grades 9-12" totalsRowFunction="sum" dataDxfId="62" totalsRowDxfId="61" dataCellStyle="Comma"/>
    <tableColumn id="187" xr3:uid="{EDF198E8-7A96-4314-9837-499EAE10F637}" name="Oct. 1, 2025 - Grades K-8" totalsRowFunction="sum" dataDxfId="60" totalsRowDxfId="59" dataCellStyle="Comma"/>
    <tableColumn id="188" xr3:uid="{5555BFEB-3555-423F-A2ED-26EF3D2E3CBE}" name="Oct. 1, 2025 - Grades 1-12" totalsRowFunction="sum" dataDxfId="58" totalsRowDxfId="57" dataCellStyle="Comma"/>
    <tableColumn id="181" xr3:uid="{A6565B74-1803-4F28-810C-61A909DFEA66}" name="Oct. 1, 2025 - Grades K-12" totalsRowFunction="sum" dataDxfId="56" totalsRowDxfId="55" dataCellStyle="Comma"/>
    <tableColumn id="182" xr3:uid="{0F7B055E-0B04-4948-9225-03F58CA12E34}" name="Oct. 1, 2025 - Foreign Exchange" totalsRowFunction="sum" dataDxfId="54" totalsRowDxfId="53" dataCellStyle="Comma"/>
    <tableColumn id="179" xr3:uid="{7F5B7696-6D0B-4A3C-BC4A-73F9FFBBA115}" name="Oct. 1, 2025 - Econ. Disadv." totalsRowFunction="sum" dataDxfId="52" totalsRowDxfId="51" dataCellStyle="Comma"/>
    <tableColumn id="180" xr3:uid="{4C26088B-B45F-4D4A-A41E-15D166E2D3B0}" name="Oct. 1, 2025 - SPED Resource" totalsRowFunction="sum" dataDxfId="50" totalsRowDxfId="49" dataCellStyle="Comma"/>
    <tableColumn id="178" xr3:uid="{5B48A9A3-B5B3-4844-AA4E-74A7B542BE05}" name="Oct. 1, 2025 - SPED Self-Contained" totalsRowFunction="sum" dataDxfId="48" totalsRowDxfId="47" dataCellStyle="Comma"/>
    <tableColumn id="153" xr3:uid="{2A3A6943-6C38-4EAC-AB4D-65489575FCB4}" name="Oct. 1, 2025 - Total SPED" totalsRowFunction="sum" dataDxfId="46" totalsRowDxfId="45" dataCellStyle="Comma"/>
    <tableColumn id="209" xr3:uid="{B0C5E100-2E3C-4689-9259-FB87252F50F5}" name="Oct. 1, 2025 - K-12 +SC" totalsRowFunction="sum" dataDxfId="44" totalsRowDxfId="43" dataCellStyle="Comma"/>
    <tableColumn id="152" xr3:uid="{4046201D-A67D-47C1-B7D1-C4CE2080C27B}" name="Oct. 1, 2025 - LEP" totalsRowFunction="sum" dataDxfId="42" totalsRowDxfId="41" dataCellStyle="Comma"/>
    <tableColumn id="207" xr3:uid="{C4F160EA-89E1-4789-B498-4026CBC60AD9}" name="ESA - All - FY26" totalsRowFunction="sum" dataDxfId="40" totalsRowDxfId="39" dataCellStyle="Comma"/>
    <tableColumn id="208" xr3:uid="{6A4A068E-EC3A-4FB0-A3AD-446F5734C882}" name="ESA - Educators Only - FY26" totalsRowFunction="sum" dataDxfId="38" totalsRowDxfId="37" dataCellStyle="Comma"/>
    <tableColumn id="206" xr3:uid="{4FC0AF80-6F4D-4A2D-9311-8DCDFCBB0B44}" name="TSM FTE - Elementary - FY26" totalsRowFunction="sum" dataDxfId="36" totalsRowDxfId="35" dataCellStyle="Comma"/>
    <tableColumn id="205" xr3:uid="{EF5B4D04-C6B3-45B3-97A1-2879A0E58CFC}" name="TSM FTE - Secondary - FY26" totalsRowFunction="sum" dataDxfId="34" totalsRowDxfId="33" dataCellStyle="Comma"/>
    <tableColumn id="204" xr3:uid="{2BEDC520-9B03-4D08-80FD-A5D41F50AAAE}" name="TSM FTE - Reg. Pre-K - FY26" totalsRowFunction="sum" dataDxfId="32" totalsRowDxfId="31" dataCellStyle="Comma"/>
    <tableColumn id="203" xr3:uid="{2B6DB8A2-0690-4665-96C9-F10FF101582F}" name="Educ. Prof. Hrs. FTE - FY26" totalsRowFunction="sum" dataDxfId="30" totalsRowDxfId="29" dataCellStyle="Comma"/>
    <tableColumn id="211" xr3:uid="{912406A5-738B-42ED-ABD6-5936BD619E4F}" name="December 1, 2025 - SPED Pre-K 3-5 Total" totalsRowFunction="sum" dataDxfId="28" totalsRowDxfId="27" dataCellStyle="Comma"/>
    <tableColumn id="216" xr3:uid="{A52ECBEE-3057-4475-B4A4-10AC246DAA1E}" name="December 1, 2025 - SPED K-12" totalsRowFunction="sum" dataDxfId="26" totalsRowDxfId="25" dataCellStyle="Comma"/>
    <tableColumn id="217" xr3:uid="{208CFE25-F5A3-40DA-81F8-9E86AF7E3636}" name="December 1, 2025 - SPED PreK-12 - All Ages" totalsRowFunction="sum" dataDxfId="24" totalsRowDxfId="23" dataCellStyle="Comma"/>
    <tableColumn id="218" xr3:uid="{5F943239-925D-463D-99B4-6C221E026E51}" name="December 1, 2025 - SPED Resource" totalsRowFunction="sum" dataDxfId="22" totalsRowDxfId="21" dataCellStyle="Comma"/>
    <tableColumn id="219" xr3:uid="{CD73902E-F447-4380-A15D-50A0BC4767FF}" name="December 1, 2025 - SPED Self-Contained" totalsRowFunction="sum" dataDxfId="20" totalsRowDxfId="19" dataCellStyle="Comma"/>
    <tableColumn id="227" xr3:uid="{1427F9E9-07A8-49A7-B9E8-EE8D3C0EEBB5}" name="FY25 ESY Count" dataDxfId="18" totalsRowDxfId="17" dataCellStyle="Comma"/>
    <tableColumn id="220" xr3:uid="{9A7FABF0-BEF6-4020-916F-129E2382ACE7}" name="Oct 1, 2026 (CDC) - K" totalsRowFunction="sum" dataDxfId="16" totalsRowDxfId="15" dataCellStyle="Comma"/>
    <tableColumn id="221" xr3:uid="{401387C2-39EB-4F90-BA49-FE66605033AD}" name="Oct 1, 2026 (CDC) - Grades 1-12" totalsRowFunction="sum" dataDxfId="14" totalsRowDxfId="13" dataCellStyle="Comma"/>
    <tableColumn id="222" xr3:uid="{BEC08C21-B674-4473-BAB3-35A60B504B33}" name="Oct 1, 2026 (CDC) - Grades 1-6" totalsRowFunction="sum" dataDxfId="12" totalsRowDxfId="11" dataCellStyle="Comma"/>
    <tableColumn id="223" xr3:uid="{43C9A5DE-58F0-442A-93F2-8DFD3C4143E6}" name="Oct 1, 2026 (CDC) - Grades 7-8" totalsRowFunction="sum" dataDxfId="10" totalsRowDxfId="9" dataCellStyle="Comma"/>
    <tableColumn id="224" xr3:uid="{5F2FBA50-FEE6-4CE8-8DC4-D38C2AAE7AA9}" name="Oct 1, 2026 (CDC) - Grades 9-12" totalsRowFunction="sum" dataDxfId="8" totalsRowDxfId="7" dataCellStyle="Comma"/>
    <tableColumn id="225" xr3:uid="{FDABECD8-A6FD-483B-87E1-41CAFD7A7E70}" name="Oct 1, 2026 (CDC) - Grades K-12" totalsRowFunction="sum" dataDxfId="6" totalsRowDxfId="5" dataCellStyle="Comma"/>
    <tableColumn id="226" xr3:uid="{FFC014E6-A592-45BD-9C10-1A926A85371B}" name="Oct 1, 2026 (CDC) - Grades K-8" totalsRowFunction="sum" dataDxfId="4" totalsRowDxfId="3" dataCellStyle="Comma">
      <calculatedColumnFormula>FY26_FE_Data_April15[[#This Row],[Oct 1, 2026 (CDC) - K]]+FY26_FE_Data_April15[[#This Row],[Oct 1, 2026 (CDC) - Grades 1-6]]+FY26_FE_Data_April15[[#This Row],[Oct 1, 2026 (CDC) - Grades 7-8]]</calculatedColumnFormula>
    </tableColumn>
    <tableColumn id="228" xr3:uid="{5A2AEE13-2F7C-4B7A-A270-8A8607EB9F07}" name="FY25 ADM - Online Students - Online All 180 Days" totalsRowFunction="sum" dataDxfId="2" totalsRowDxfId="1" dataCellStyle="Com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chools.utah.gov/adminrules/R277-437" TargetMode="External"/><Relationship Id="rId1" Type="http://schemas.openxmlformats.org/officeDocument/2006/relationships/hyperlink" Target="https://le.utah.gov/xcode/Title53G/Chapter6/53G-6-S405.html?v=C53G-6-S405_2019051420190514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8"/>
  <sheetViews>
    <sheetView zoomScale="130" zoomScaleNormal="130" workbookViewId="0">
      <selection activeCell="A6" sqref="A6"/>
    </sheetView>
  </sheetViews>
  <sheetFormatPr defaultColWidth="9.1796875" defaultRowHeight="12.5"/>
  <cols>
    <col min="1" max="1" width="9.1796875" style="2"/>
    <col min="2" max="2" width="41.453125" style="2" customWidth="1"/>
    <col min="3" max="3" width="0" style="2" hidden="1" customWidth="1"/>
    <col min="4" max="4" width="9.1796875" style="2"/>
    <col min="5" max="5" width="15.81640625" style="2" customWidth="1"/>
    <col min="6" max="6" width="16.453125" style="2" customWidth="1"/>
    <col min="7" max="16384" width="9.1796875" style="2"/>
  </cols>
  <sheetData>
    <row r="1" spans="1:5">
      <c r="A1" s="8" t="s">
        <v>138</v>
      </c>
      <c r="B1" s="8"/>
      <c r="C1" s="4"/>
      <c r="D1" s="4"/>
      <c r="E1" s="4"/>
    </row>
    <row r="2" spans="1:5">
      <c r="A2" s="8" t="s">
        <v>109</v>
      </c>
      <c r="B2" s="8"/>
      <c r="C2" s="8"/>
      <c r="D2" s="8"/>
      <c r="E2" s="8"/>
    </row>
    <row r="3" spans="1:5">
      <c r="A3" s="8" t="s">
        <v>128</v>
      </c>
      <c r="B3" s="8"/>
      <c r="C3" s="4"/>
      <c r="D3" s="4"/>
      <c r="E3" s="4"/>
    </row>
    <row r="4" spans="1:5">
      <c r="A4" s="8" t="s">
        <v>0</v>
      </c>
      <c r="B4" s="8"/>
      <c r="C4" s="4"/>
      <c r="D4" s="4"/>
      <c r="E4" s="4"/>
    </row>
    <row r="5" spans="1:5" ht="13">
      <c r="A5" s="1" t="s">
        <v>796</v>
      </c>
      <c r="B5" s="8"/>
      <c r="C5" s="4"/>
      <c r="D5" s="4"/>
      <c r="E5" s="4"/>
    </row>
    <row r="6" spans="1:5" ht="13">
      <c r="A6" s="1"/>
      <c r="B6" s="8"/>
      <c r="C6" s="4"/>
      <c r="D6" s="4"/>
      <c r="E6" s="4"/>
    </row>
    <row r="7" spans="1:5" ht="13">
      <c r="A7" s="13"/>
      <c r="B7" s="203" t="s">
        <v>211</v>
      </c>
      <c r="C7" s="203"/>
      <c r="D7" s="203"/>
      <c r="E7" s="7" t="s">
        <v>43</v>
      </c>
    </row>
    <row r="8" spans="1:5" ht="12.75" customHeight="1">
      <c r="A8" s="6"/>
      <c r="B8" s="6"/>
      <c r="C8" s="201" t="s">
        <v>2</v>
      </c>
      <c r="D8" s="6"/>
      <c r="E8" s="6"/>
    </row>
    <row r="9" spans="1:5" ht="13.5" thickBot="1">
      <c r="A9" s="14" t="s">
        <v>1</v>
      </c>
      <c r="B9" s="15"/>
      <c r="C9" s="202"/>
      <c r="D9" s="15"/>
      <c r="E9" s="14" t="s">
        <v>96</v>
      </c>
    </row>
    <row r="11" spans="1:5">
      <c r="A11" s="16" t="s">
        <v>9</v>
      </c>
      <c r="B11" s="16"/>
      <c r="C11" s="6"/>
      <c r="D11" s="6"/>
      <c r="E11" s="6"/>
    </row>
    <row r="12" spans="1:5">
      <c r="A12" s="6" t="s">
        <v>3</v>
      </c>
      <c r="B12" s="6"/>
      <c r="C12" s="17" t="e">
        <f>VLOOKUP(Districtname,Data,3)</f>
        <v>#NAME?</v>
      </c>
      <c r="D12" s="6"/>
      <c r="E12" s="11">
        <f>VLOOKUP(Districtname,Data25,2,FALSE)</f>
        <v>851320330</v>
      </c>
    </row>
    <row r="13" spans="1:5">
      <c r="A13" s="6" t="s">
        <v>100</v>
      </c>
      <c r="B13" s="6"/>
      <c r="C13" s="17" t="e">
        <f>VLOOKUP(Districtname,Data,3)</f>
        <v>#NAME?</v>
      </c>
      <c r="D13" s="6"/>
      <c r="E13" s="11">
        <f>VLOOKUP(Districtname,Data25,3,FALSE)</f>
        <v>122436473</v>
      </c>
    </row>
    <row r="14" spans="1:5">
      <c r="A14" s="6" t="s">
        <v>4</v>
      </c>
      <c r="B14" s="6"/>
      <c r="C14" s="17" t="e">
        <f>VLOOKUP(Districtname,Data,10)</f>
        <v>#NAME?</v>
      </c>
      <c r="D14" s="6"/>
      <c r="E14" s="11">
        <f>VLOOKUP(Districtname,Data25,6,FALSE)*-1</f>
        <v>-25963549</v>
      </c>
    </row>
    <row r="15" spans="1:5">
      <c r="A15" s="6" t="s">
        <v>5</v>
      </c>
      <c r="B15" s="6"/>
      <c r="C15" s="17" t="e">
        <f>VLOOKUP(Districtname,Data,10)</f>
        <v>#NAME?</v>
      </c>
      <c r="D15" s="6"/>
      <c r="E15" s="11">
        <f>VLOOKUP(Districtname,Data25,7,FALSE)*-1</f>
        <v>-17620423</v>
      </c>
    </row>
    <row r="16" spans="1:5">
      <c r="A16" s="6" t="s">
        <v>6</v>
      </c>
      <c r="B16" s="6"/>
      <c r="C16" s="17" t="e">
        <f>VLOOKUP(Districtname,Data,10)</f>
        <v>#NAME?</v>
      </c>
      <c r="D16" s="6"/>
      <c r="E16" s="11">
        <f>VLOOKUP(Districtname,Data25,8,FALSE)*-1</f>
        <v>-45334314</v>
      </c>
    </row>
    <row r="17" spans="1:5" ht="13.5" thickBot="1">
      <c r="A17" s="6" t="s">
        <v>7</v>
      </c>
      <c r="B17" s="7" t="s">
        <v>15</v>
      </c>
      <c r="C17" s="18"/>
      <c r="D17" s="6"/>
      <c r="E17" s="19">
        <f>+E12+E13+E14+E15+E16</f>
        <v>884838517</v>
      </c>
    </row>
    <row r="18" spans="1:5" ht="13" thickTop="1">
      <c r="A18" s="6"/>
      <c r="B18" s="6"/>
      <c r="C18" s="18"/>
      <c r="D18" s="6"/>
      <c r="E18" s="6"/>
    </row>
    <row r="19" spans="1:5">
      <c r="A19" s="16" t="s">
        <v>8</v>
      </c>
      <c r="B19" s="6"/>
      <c r="C19" s="18"/>
      <c r="D19" s="6"/>
      <c r="E19" s="6"/>
    </row>
    <row r="20" spans="1:5">
      <c r="A20" s="6" t="s">
        <v>208</v>
      </c>
      <c r="B20" s="6"/>
      <c r="C20" s="20"/>
      <c r="D20" s="6"/>
      <c r="E20" s="11">
        <f>VLOOKUP(Districtname,Data25,12,FALSE)</f>
        <v>84129829.159635127</v>
      </c>
    </row>
    <row r="21" spans="1:5">
      <c r="A21" s="6" t="s">
        <v>10</v>
      </c>
      <c r="B21" s="6"/>
      <c r="C21" s="17" t="e">
        <f>VLOOKUP(Districtname,Data,3)</f>
        <v>#NAME?</v>
      </c>
      <c r="D21" s="6"/>
      <c r="E21" s="11">
        <f>VLOOKUP(Districtname,Data25,13,FALSE)</f>
        <v>633990447</v>
      </c>
    </row>
    <row r="22" spans="1:5">
      <c r="A22" s="6" t="s">
        <v>11</v>
      </c>
      <c r="B22" s="6"/>
      <c r="C22" s="17" t="e">
        <f>VLOOKUP(Districtname,Data,3)</f>
        <v>#NAME?</v>
      </c>
      <c r="D22" s="6"/>
      <c r="E22" s="11">
        <f>VLOOKUP(Districtname,Data25,14,FALSE)</f>
        <v>24984866</v>
      </c>
    </row>
    <row r="23" spans="1:5">
      <c r="A23" s="6" t="s">
        <v>12</v>
      </c>
      <c r="B23" s="6"/>
      <c r="C23" s="17" t="e">
        <f>VLOOKUP(Districtname,Data,3)</f>
        <v>#NAME?</v>
      </c>
      <c r="D23" s="6"/>
      <c r="E23" s="11">
        <f>VLOOKUP(Districtname,Data25,15,FALSE)</f>
        <v>1379194</v>
      </c>
    </row>
    <row r="24" spans="1:5">
      <c r="A24" s="6" t="s">
        <v>13</v>
      </c>
      <c r="B24" s="6"/>
      <c r="C24" s="17" t="e">
        <f>VLOOKUP(Districtname,Data,3)</f>
        <v>#NAME?</v>
      </c>
      <c r="D24" s="6"/>
      <c r="E24" s="11">
        <f>VLOOKUP(Districtname,Data25,16,FALSE)</f>
        <v>0</v>
      </c>
    </row>
    <row r="25" spans="1:5" ht="13.5" thickBot="1">
      <c r="A25" s="6" t="s">
        <v>14</v>
      </c>
      <c r="B25" s="7" t="s">
        <v>16</v>
      </c>
      <c r="C25" s="6"/>
      <c r="D25" s="6"/>
      <c r="E25" s="19">
        <f>+E20+E21+E22+E23+E24</f>
        <v>744484336.15963507</v>
      </c>
    </row>
    <row r="26" spans="1:5" ht="13" thickTop="1">
      <c r="A26" s="6"/>
      <c r="B26" s="6"/>
      <c r="C26" s="6"/>
      <c r="D26" s="6"/>
      <c r="E26" s="10"/>
    </row>
    <row r="27" spans="1:5" ht="13">
      <c r="A27" s="6" t="s">
        <v>17</v>
      </c>
      <c r="B27" s="7" t="s">
        <v>24</v>
      </c>
      <c r="C27" s="6"/>
      <c r="D27" s="6"/>
      <c r="E27" s="11">
        <f>-E25+E17</f>
        <v>140354180.84036493</v>
      </c>
    </row>
    <row r="28" spans="1:5">
      <c r="A28" s="6"/>
      <c r="B28" s="6"/>
      <c r="C28" s="6"/>
      <c r="D28" s="6"/>
      <c r="E28" s="10"/>
    </row>
    <row r="29" spans="1:5">
      <c r="A29" s="6" t="s">
        <v>18</v>
      </c>
      <c r="B29" s="6" t="s">
        <v>207</v>
      </c>
      <c r="C29" s="6"/>
      <c r="D29" s="6"/>
      <c r="E29" s="11">
        <f>VLOOKUP(Districtname,Data25,19,FALSE)</f>
        <v>83660.10555555555</v>
      </c>
    </row>
    <row r="30" spans="1:5">
      <c r="A30" s="6"/>
      <c r="B30" s="6"/>
      <c r="C30" s="6"/>
      <c r="D30" s="6"/>
      <c r="E30" s="6"/>
    </row>
    <row r="31" spans="1:5" ht="13">
      <c r="A31" s="6" t="s">
        <v>19</v>
      </c>
      <c r="B31" s="7" t="s">
        <v>21</v>
      </c>
      <c r="C31" s="6"/>
      <c r="D31" s="6"/>
      <c r="E31" s="12">
        <f>IF(E29=0,0,ROUND(E27/E29,2))</f>
        <v>1677.67</v>
      </c>
    </row>
    <row r="32" spans="1:5">
      <c r="A32" s="6"/>
      <c r="B32" s="6"/>
      <c r="C32" s="6"/>
      <c r="D32" s="6"/>
      <c r="E32" s="6"/>
    </row>
    <row r="33" spans="1:5" ht="13">
      <c r="A33" s="6" t="s">
        <v>20</v>
      </c>
      <c r="B33" s="7" t="s">
        <v>90</v>
      </c>
      <c r="C33" s="6"/>
      <c r="D33" s="6"/>
      <c r="E33" s="12">
        <f>IF(E31&gt;0,ROUND(E31*0.5,2),0)</f>
        <v>838.84</v>
      </c>
    </row>
    <row r="34" spans="1:5">
      <c r="A34" s="6"/>
      <c r="B34" s="6"/>
      <c r="C34" s="6"/>
      <c r="D34" s="6"/>
      <c r="E34" s="6"/>
    </row>
    <row r="35" spans="1:5">
      <c r="A35" s="6" t="s">
        <v>23</v>
      </c>
      <c r="B35" s="6" t="s">
        <v>123</v>
      </c>
      <c r="C35" s="6"/>
      <c r="D35" s="6"/>
      <c r="E35" s="12">
        <v>0</v>
      </c>
    </row>
    <row r="36" spans="1:5">
      <c r="A36" s="6"/>
      <c r="B36" s="6"/>
      <c r="C36" s="6"/>
      <c r="D36" s="6"/>
      <c r="E36" s="6"/>
    </row>
    <row r="37" spans="1:5" ht="13.5" thickBot="1">
      <c r="A37" s="6" t="s">
        <v>22</v>
      </c>
      <c r="B37" s="7" t="s">
        <v>206</v>
      </c>
      <c r="C37" s="6"/>
      <c r="D37" s="6"/>
      <c r="E37" s="21" t="str">
        <f>IF(E35=0,"",ROUND(E33*E35,2))</f>
        <v/>
      </c>
    </row>
    <row r="38" spans="1:5" ht="13" thickTop="1">
      <c r="A38" s="6"/>
    </row>
    <row r="39" spans="1:5">
      <c r="A39" s="6" t="s">
        <v>25</v>
      </c>
    </row>
    <row r="40" spans="1:5">
      <c r="A40" s="6" t="s">
        <v>212</v>
      </c>
    </row>
    <row r="41" spans="1:5">
      <c r="A41" s="6" t="s">
        <v>213</v>
      </c>
    </row>
    <row r="42" spans="1:5">
      <c r="A42" s="6"/>
    </row>
    <row r="43" spans="1:5">
      <c r="A43" s="6" t="s">
        <v>122</v>
      </c>
    </row>
    <row r="44" spans="1:5">
      <c r="A44" s="6" t="s">
        <v>210</v>
      </c>
    </row>
    <row r="46" spans="1:5" ht="15.5">
      <c r="A46" s="22" t="s">
        <v>209</v>
      </c>
    </row>
    <row r="47" spans="1:5">
      <c r="A47" s="23" t="s">
        <v>137</v>
      </c>
    </row>
    <row r="48" spans="1:5">
      <c r="A48" s="79" t="s">
        <v>110</v>
      </c>
    </row>
  </sheetData>
  <mergeCells count="2">
    <mergeCell ref="C8:C9"/>
    <mergeCell ref="B7:D7"/>
  </mergeCells>
  <phoneticPr fontId="0" type="noConversion"/>
  <hyperlinks>
    <hyperlink ref="A47" r:id="rId1" xr:uid="{D9486B37-5C8B-4D54-98BF-1FA061274B99}"/>
    <hyperlink ref="A48" r:id="rId2" xr:uid="{32561F90-B078-405A-8323-4887CC12460A}"/>
  </hyperlinks>
  <pageMargins left="0.75" right="0.75" top="1" bottom="1" header="0.5" footer="0.5"/>
  <pageSetup scale="90" orientation="portrait" horizontalDpi="300" verticalDpi="300" r:id="rId3"/>
  <headerFooter alignWithMargins="0">
    <oddFooter>&amp;L&amp;8&amp;D&amp;R&amp;8I:\Data\Excel\Cathy\&amp;F</oddFooter>
  </headerFooter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6"/>
  <sheetViews>
    <sheetView tabSelected="1" workbookViewId="0">
      <selection activeCell="B50" sqref="B50"/>
    </sheetView>
  </sheetViews>
  <sheetFormatPr defaultColWidth="9.1796875" defaultRowHeight="12.5"/>
  <cols>
    <col min="1" max="1" width="17.1796875" style="2" customWidth="1"/>
    <col min="2" max="2" width="14.81640625" style="2" customWidth="1"/>
    <col min="3" max="3" width="13.81640625" style="2" customWidth="1"/>
    <col min="4" max="4" width="12.1796875" style="2" customWidth="1"/>
    <col min="5" max="16384" width="9.1796875" style="2"/>
  </cols>
  <sheetData>
    <row r="1" spans="1:7" ht="13">
      <c r="A1" s="1" t="s">
        <v>138</v>
      </c>
      <c r="B1" s="4"/>
      <c r="C1" s="4"/>
      <c r="D1" s="4"/>
    </row>
    <row r="2" spans="1:7" ht="13">
      <c r="A2" s="1" t="s">
        <v>109</v>
      </c>
      <c r="B2" s="4"/>
      <c r="C2" s="4"/>
      <c r="D2" s="4"/>
    </row>
    <row r="3" spans="1:7" ht="13">
      <c r="A3" s="1" t="s">
        <v>86</v>
      </c>
      <c r="B3" s="4"/>
      <c r="C3" s="4"/>
      <c r="D3" s="4"/>
    </row>
    <row r="4" spans="1:7" ht="13">
      <c r="A4" s="1" t="str">
        <f>Worksheet!A5</f>
        <v>FY 2026</v>
      </c>
      <c r="B4" s="4"/>
      <c r="C4" s="4"/>
      <c r="D4" s="4"/>
    </row>
    <row r="6" spans="1:7" ht="13">
      <c r="A6" s="6"/>
      <c r="B6" s="5" t="s">
        <v>83</v>
      </c>
      <c r="C6" s="5" t="s">
        <v>89</v>
      </c>
      <c r="D6" s="3"/>
    </row>
    <row r="7" spans="1:7" ht="13">
      <c r="A7" s="5" t="s">
        <v>87</v>
      </c>
      <c r="B7" s="5" t="s">
        <v>88</v>
      </c>
      <c r="C7" s="5" t="s">
        <v>85</v>
      </c>
      <c r="D7" s="5" t="s">
        <v>84</v>
      </c>
    </row>
    <row r="8" spans="1:7">
      <c r="A8" s="76" t="s">
        <v>43</v>
      </c>
      <c r="B8" s="77">
        <f>_xlfn.XLOOKUP(A8,AFRAPR!C5:C45,AFRAPR!W5:W45,0,0)</f>
        <v>838.84</v>
      </c>
      <c r="C8" s="76"/>
      <c r="D8" s="78">
        <f>+B8*C8</f>
        <v>0</v>
      </c>
      <c r="F8" s="24"/>
      <c r="G8" s="24"/>
    </row>
    <row r="9" spans="1:7">
      <c r="A9" s="76" t="s">
        <v>44</v>
      </c>
      <c r="B9" s="77">
        <f>_xlfn.XLOOKUP(A9,AFRAPR!C6:C46,AFRAPR!W6:W46,0,0)</f>
        <v>2057.48</v>
      </c>
      <c r="C9" s="76"/>
      <c r="D9" s="78">
        <f t="shared" ref="D9:D48" si="0">+B9*C9</f>
        <v>0</v>
      </c>
      <c r="F9" s="24"/>
      <c r="G9" s="24"/>
    </row>
    <row r="10" spans="1:7">
      <c r="A10" s="76" t="s">
        <v>45</v>
      </c>
      <c r="B10" s="77">
        <f>_xlfn.XLOOKUP(A10,AFRAPR!C7:C47,AFRAPR!W7:W47,0,0)</f>
        <v>1224.79</v>
      </c>
      <c r="C10" s="76"/>
      <c r="D10" s="78">
        <f t="shared" si="0"/>
        <v>0</v>
      </c>
      <c r="F10" s="24"/>
      <c r="G10" s="24"/>
    </row>
    <row r="11" spans="1:7" ht="13" customHeight="1">
      <c r="A11" s="76" t="s">
        <v>46</v>
      </c>
      <c r="B11" s="77">
        <f>_xlfn.XLOOKUP(A11,AFRAPR!C8:C48,AFRAPR!W8:W48,0,0)</f>
        <v>451.77</v>
      </c>
      <c r="C11" s="76"/>
      <c r="D11" s="78">
        <f t="shared" si="0"/>
        <v>0</v>
      </c>
      <c r="F11" s="24"/>
      <c r="G11" s="24"/>
    </row>
    <row r="12" spans="1:7">
      <c r="A12" s="76" t="s">
        <v>47</v>
      </c>
      <c r="B12" s="77">
        <f>_xlfn.XLOOKUP(A12,AFRAPR!C9:C49,AFRAPR!W9:W49,0,0)</f>
        <v>1825.12</v>
      </c>
      <c r="C12" s="76"/>
      <c r="D12" s="78">
        <f t="shared" si="0"/>
        <v>0</v>
      </c>
      <c r="F12" s="24"/>
      <c r="G12" s="24"/>
    </row>
    <row r="13" spans="1:7">
      <c r="A13" s="76" t="s">
        <v>48</v>
      </c>
      <c r="B13" s="77">
        <f>_xlfn.XLOOKUP(A13,AFRAPR!C10:C50,AFRAPR!W10:W50,0,0)</f>
        <v>5785.56</v>
      </c>
      <c r="C13" s="76"/>
      <c r="D13" s="78">
        <f t="shared" si="0"/>
        <v>0</v>
      </c>
      <c r="F13" s="24"/>
      <c r="G13" s="24"/>
    </row>
    <row r="14" spans="1:7">
      <c r="A14" s="76" t="s">
        <v>49</v>
      </c>
      <c r="B14" s="77">
        <f>_xlfn.XLOOKUP(A14,AFRAPR!C11:C51,AFRAPR!W11:W51,0,0)</f>
        <v>1092.5899999999999</v>
      </c>
      <c r="C14" s="76"/>
      <c r="D14" s="78">
        <f t="shared" si="0"/>
        <v>0</v>
      </c>
      <c r="F14" s="24"/>
      <c r="G14" s="24"/>
    </row>
    <row r="15" spans="1:7">
      <c r="A15" s="76" t="s">
        <v>50</v>
      </c>
      <c r="B15" s="77">
        <f>_xlfn.XLOOKUP(A15,AFRAPR!C12:C52,AFRAPR!W12:W52,0,0)</f>
        <v>1369.27</v>
      </c>
      <c r="C15" s="76"/>
      <c r="D15" s="78">
        <f t="shared" si="0"/>
        <v>0</v>
      </c>
      <c r="F15" s="24"/>
      <c r="G15" s="24"/>
    </row>
    <row r="16" spans="1:7">
      <c r="A16" s="76" t="s">
        <v>51</v>
      </c>
      <c r="B16" s="77">
        <f>_xlfn.XLOOKUP(A16,AFRAPR!C13:C53,AFRAPR!W13:W53,0,0)</f>
        <v>3967.51</v>
      </c>
      <c r="C16" s="76"/>
      <c r="D16" s="78">
        <f t="shared" si="0"/>
        <v>0</v>
      </c>
      <c r="F16" s="24"/>
      <c r="G16" s="24"/>
    </row>
    <row r="17" spans="1:7">
      <c r="A17" s="76" t="s">
        <v>52</v>
      </c>
      <c r="B17" s="77">
        <f>_xlfn.XLOOKUP(A17,AFRAPR!C14:C54,AFRAPR!W14:W54,0,0)</f>
        <v>353.13</v>
      </c>
      <c r="C17" s="76"/>
      <c r="D17" s="78">
        <f t="shared" si="0"/>
        <v>0</v>
      </c>
      <c r="F17" s="24"/>
      <c r="G17" s="24"/>
    </row>
    <row r="18" spans="1:7">
      <c r="A18" s="76" t="s">
        <v>53</v>
      </c>
      <c r="B18" s="77">
        <f>_xlfn.XLOOKUP(A18,AFRAPR!C15:C55,AFRAPR!W15:W55,0,0)</f>
        <v>4245.07</v>
      </c>
      <c r="C18" s="76"/>
      <c r="D18" s="78">
        <f t="shared" si="0"/>
        <v>0</v>
      </c>
      <c r="F18" s="24"/>
      <c r="G18" s="24"/>
    </row>
    <row r="19" spans="1:7">
      <c r="A19" s="76" t="s">
        <v>54</v>
      </c>
      <c r="B19" s="77">
        <f>_xlfn.XLOOKUP(A19,AFRAPR!C16:C56,AFRAPR!W16:W56,0,0)</f>
        <v>1350.46</v>
      </c>
      <c r="C19" s="76"/>
      <c r="D19" s="78">
        <f t="shared" si="0"/>
        <v>0</v>
      </c>
      <c r="F19" s="24"/>
      <c r="G19" s="24"/>
    </row>
    <row r="20" spans="1:7">
      <c r="A20" s="76" t="s">
        <v>55</v>
      </c>
      <c r="B20" s="77">
        <f>_xlfn.XLOOKUP(A20,AFRAPR!C17:C57,AFRAPR!W17:W57,0,0)</f>
        <v>665.75</v>
      </c>
      <c r="C20" s="76"/>
      <c r="D20" s="78">
        <f t="shared" si="0"/>
        <v>0</v>
      </c>
      <c r="F20" s="24"/>
      <c r="G20" s="24"/>
    </row>
    <row r="21" spans="1:7">
      <c r="A21" s="76" t="s">
        <v>56</v>
      </c>
      <c r="B21" s="77">
        <f>_xlfn.XLOOKUP(A21,AFRAPR!C18:C58,AFRAPR!W18:W58,0,0)</f>
        <v>1178.74</v>
      </c>
      <c r="C21" s="76"/>
      <c r="D21" s="78">
        <f t="shared" si="0"/>
        <v>0</v>
      </c>
      <c r="F21" s="24"/>
      <c r="G21" s="24"/>
    </row>
    <row r="22" spans="1:7">
      <c r="A22" s="76" t="s">
        <v>57</v>
      </c>
      <c r="B22" s="77">
        <f>_xlfn.XLOOKUP(A22,AFRAPR!C19:C59,AFRAPR!W19:W59,0,0)</f>
        <v>1315.6</v>
      </c>
      <c r="C22" s="76"/>
      <c r="D22" s="78">
        <f t="shared" si="0"/>
        <v>0</v>
      </c>
      <c r="F22" s="24"/>
      <c r="G22" s="24"/>
    </row>
    <row r="23" spans="1:7">
      <c r="A23" s="76" t="s">
        <v>58</v>
      </c>
      <c r="B23" s="77">
        <f>_xlfn.XLOOKUP(A23,AFRAPR!C20:C60,AFRAPR!W20:W60,0,0)</f>
        <v>2428.46</v>
      </c>
      <c r="C23" s="76"/>
      <c r="D23" s="78">
        <f t="shared" si="0"/>
        <v>0</v>
      </c>
      <c r="F23" s="24"/>
      <c r="G23" s="24"/>
    </row>
    <row r="24" spans="1:7">
      <c r="A24" s="76" t="s">
        <v>59</v>
      </c>
      <c r="B24" s="77">
        <f>_xlfn.XLOOKUP(A24,AFRAPR!C21:C61,AFRAPR!W21:W61,0,0)</f>
        <v>2462.09</v>
      </c>
      <c r="C24" s="76"/>
      <c r="D24" s="78">
        <f t="shared" si="0"/>
        <v>0</v>
      </c>
      <c r="F24" s="24"/>
      <c r="G24" s="24"/>
    </row>
    <row r="25" spans="1:7">
      <c r="A25" s="76" t="s">
        <v>60</v>
      </c>
      <c r="B25" s="77">
        <f>_xlfn.XLOOKUP(A25,AFRAPR!C22:C62,AFRAPR!W22:W62,0,0)</f>
        <v>1632.25</v>
      </c>
      <c r="C25" s="76"/>
      <c r="D25" s="78">
        <f t="shared" si="0"/>
        <v>0</v>
      </c>
      <c r="F25" s="24"/>
      <c r="G25" s="24"/>
    </row>
    <row r="26" spans="1:7">
      <c r="A26" s="76" t="s">
        <v>61</v>
      </c>
      <c r="B26" s="77">
        <f>_xlfn.XLOOKUP(A26,AFRAPR!C23:C63,AFRAPR!W23:W63,0,0)</f>
        <v>342.53</v>
      </c>
      <c r="C26" s="76"/>
      <c r="D26" s="78">
        <f t="shared" si="0"/>
        <v>0</v>
      </c>
      <c r="F26" s="24"/>
      <c r="G26" s="24"/>
    </row>
    <row r="27" spans="1:7">
      <c r="A27" s="76" t="s">
        <v>62</v>
      </c>
      <c r="B27" s="77">
        <f>_xlfn.XLOOKUP(A27,AFRAPR!C24:C64,AFRAPR!W24:W64,0,0)</f>
        <v>158.80000000000001</v>
      </c>
      <c r="C27" s="76"/>
      <c r="D27" s="78">
        <f t="shared" si="0"/>
        <v>0</v>
      </c>
      <c r="F27" s="24"/>
      <c r="G27" s="24"/>
    </row>
    <row r="28" spans="1:7">
      <c r="A28" s="76" t="s">
        <v>63</v>
      </c>
      <c r="B28" s="77">
        <f>_xlfn.XLOOKUP(A28,AFRAPR!C25:C65,AFRAPR!W25:W65,0,0)</f>
        <v>2629.08</v>
      </c>
      <c r="C28" s="76"/>
      <c r="D28" s="78">
        <f t="shared" si="0"/>
        <v>0</v>
      </c>
      <c r="F28" s="24"/>
      <c r="G28" s="24"/>
    </row>
    <row r="29" spans="1:7">
      <c r="A29" s="76" t="s">
        <v>64</v>
      </c>
      <c r="B29" s="77">
        <f>_xlfn.XLOOKUP(A29,AFRAPR!C26:C66,AFRAPR!W26:W66,0,0)</f>
        <v>7409.11</v>
      </c>
      <c r="C29" s="76"/>
      <c r="D29" s="78">
        <f t="shared" si="0"/>
        <v>0</v>
      </c>
      <c r="F29" s="24"/>
      <c r="G29" s="24"/>
    </row>
    <row r="30" spans="1:7">
      <c r="A30" s="76" t="s">
        <v>65</v>
      </c>
      <c r="B30" s="77">
        <f>_xlfn.XLOOKUP(A30,AFRAPR!C27:C67,AFRAPR!W27:W67,0,0)</f>
        <v>0</v>
      </c>
      <c r="C30" s="76"/>
      <c r="D30" s="78">
        <f t="shared" si="0"/>
        <v>0</v>
      </c>
      <c r="F30" s="24"/>
      <c r="G30" s="24"/>
    </row>
    <row r="31" spans="1:7">
      <c r="A31" s="76" t="s">
        <v>66</v>
      </c>
      <c r="B31" s="77">
        <f>_xlfn.XLOOKUP(A31,AFRAPR!C28:C68,AFRAPR!W28:W68,0,0)</f>
        <v>2723.19</v>
      </c>
      <c r="C31" s="76"/>
      <c r="D31" s="78">
        <f t="shared" si="0"/>
        <v>0</v>
      </c>
      <c r="F31" s="24"/>
      <c r="G31" s="24"/>
    </row>
    <row r="32" spans="1:7">
      <c r="A32" s="76" t="s">
        <v>67</v>
      </c>
      <c r="B32" s="77">
        <f>_xlfn.XLOOKUP(A32,AFRAPR!C29:C69,AFRAPR!W29:W69,0,0)</f>
        <v>0</v>
      </c>
      <c r="C32" s="76"/>
      <c r="D32" s="78">
        <f t="shared" si="0"/>
        <v>0</v>
      </c>
      <c r="F32" s="24"/>
      <c r="G32" s="24"/>
    </row>
    <row r="33" spans="1:7">
      <c r="A33" s="76" t="s">
        <v>68</v>
      </c>
      <c r="B33" s="77">
        <f>_xlfn.XLOOKUP(A33,AFRAPR!C30:C70,AFRAPR!W30:W70,0,0)</f>
        <v>121.97</v>
      </c>
      <c r="C33" s="76"/>
      <c r="D33" s="78">
        <f t="shared" si="0"/>
        <v>0</v>
      </c>
      <c r="F33" s="24"/>
      <c r="G33" s="24"/>
    </row>
    <row r="34" spans="1:7">
      <c r="A34" s="76" t="s">
        <v>69</v>
      </c>
      <c r="B34" s="77">
        <f>_xlfn.XLOOKUP(A34,AFRAPR!C31:C71,AFRAPR!W31:W71,0,0)</f>
        <v>0</v>
      </c>
      <c r="C34" s="76"/>
      <c r="D34" s="78">
        <f t="shared" si="0"/>
        <v>0</v>
      </c>
      <c r="F34" s="24"/>
      <c r="G34" s="24"/>
    </row>
    <row r="35" spans="1:7">
      <c r="A35" s="76" t="s">
        <v>70</v>
      </c>
      <c r="B35" s="77">
        <f>_xlfn.XLOOKUP(A35,AFRAPR!C32:C72,AFRAPR!W32:W72,0,0)</f>
        <v>3552.84</v>
      </c>
      <c r="C35" s="76"/>
      <c r="D35" s="78">
        <f t="shared" si="0"/>
        <v>0</v>
      </c>
      <c r="F35" s="24"/>
      <c r="G35" s="24"/>
    </row>
    <row r="36" spans="1:7">
      <c r="A36" s="76" t="s">
        <v>71</v>
      </c>
      <c r="B36" s="77">
        <f>_xlfn.XLOOKUP(A36,AFRAPR!C33:C73,AFRAPR!W33:W73,0,0)</f>
        <v>326.94</v>
      </c>
      <c r="C36" s="76"/>
      <c r="D36" s="78">
        <f t="shared" si="0"/>
        <v>0</v>
      </c>
      <c r="F36" s="24"/>
      <c r="G36" s="24"/>
    </row>
    <row r="37" spans="1:7">
      <c r="A37" s="76" t="s">
        <v>72</v>
      </c>
      <c r="B37" s="77">
        <f>_xlfn.XLOOKUP(A37,AFRAPR!C34:C74,AFRAPR!W34:W74,0,0)</f>
        <v>1497.24</v>
      </c>
      <c r="C37" s="76"/>
      <c r="D37" s="78">
        <f t="shared" si="0"/>
        <v>0</v>
      </c>
      <c r="F37" s="24"/>
      <c r="G37" s="24"/>
    </row>
    <row r="38" spans="1:7">
      <c r="A38" s="76" t="s">
        <v>108</v>
      </c>
      <c r="B38" s="77">
        <f>_xlfn.XLOOKUP(A38,AFRAPR!C35:C75,AFRAPR!W35:W75,0,0)</f>
        <v>1525.97</v>
      </c>
      <c r="C38" s="76"/>
      <c r="D38" s="78">
        <f t="shared" si="0"/>
        <v>0</v>
      </c>
      <c r="F38" s="24"/>
      <c r="G38" s="24"/>
    </row>
    <row r="39" spans="1:7">
      <c r="A39" s="76" t="s">
        <v>73</v>
      </c>
      <c r="B39" s="77">
        <f>_xlfn.XLOOKUP(A39,AFRAPR!C36:C76,AFRAPR!W36:W76,0,0)</f>
        <v>3649.57</v>
      </c>
      <c r="C39" s="76"/>
      <c r="D39" s="78">
        <f t="shared" si="0"/>
        <v>0</v>
      </c>
      <c r="F39" s="24"/>
      <c r="G39" s="24"/>
    </row>
    <row r="40" spans="1:7">
      <c r="A40" s="76" t="s">
        <v>74</v>
      </c>
      <c r="B40" s="77">
        <f>_xlfn.XLOOKUP(A40,AFRAPR!C37:C77,AFRAPR!W37:W77,0,0)</f>
        <v>1191.3699999999999</v>
      </c>
      <c r="C40" s="76"/>
      <c r="D40" s="78">
        <f t="shared" si="0"/>
        <v>0</v>
      </c>
      <c r="F40" s="24"/>
      <c r="G40" s="24"/>
    </row>
    <row r="41" spans="1:7">
      <c r="A41" s="76" t="s">
        <v>75</v>
      </c>
      <c r="B41" s="77">
        <f>_xlfn.XLOOKUP(A41,AFRAPR!C38:C78,AFRAPR!W38:W78,0,0)</f>
        <v>0</v>
      </c>
      <c r="C41" s="76"/>
      <c r="D41" s="78">
        <f t="shared" si="0"/>
        <v>0</v>
      </c>
      <c r="F41" s="24"/>
      <c r="G41" s="24"/>
    </row>
    <row r="42" spans="1:7">
      <c r="A42" s="76" t="s">
        <v>76</v>
      </c>
      <c r="B42" s="77">
        <f>_xlfn.XLOOKUP(A42,AFRAPR!C39:C79,AFRAPR!W39:W79,0,0)</f>
        <v>1454.36</v>
      </c>
      <c r="C42" s="76"/>
      <c r="D42" s="78">
        <f t="shared" si="0"/>
        <v>0</v>
      </c>
      <c r="F42" s="24"/>
      <c r="G42" s="24"/>
    </row>
    <row r="43" spans="1:7">
      <c r="A43" s="76" t="s">
        <v>77</v>
      </c>
      <c r="B43" s="77">
        <f>_xlfn.XLOOKUP(A43,AFRAPR!C40:C80,AFRAPR!W40:W80,0,0)</f>
        <v>3097.02</v>
      </c>
      <c r="C43" s="76"/>
      <c r="D43" s="78">
        <f t="shared" si="0"/>
        <v>0</v>
      </c>
      <c r="F43" s="24"/>
      <c r="G43" s="24"/>
    </row>
    <row r="44" spans="1:7">
      <c r="A44" s="76" t="s">
        <v>78</v>
      </c>
      <c r="B44" s="77">
        <f>_xlfn.XLOOKUP(A44,AFRAPR!C41:C81,AFRAPR!W41:W81,0,0)</f>
        <v>2373.65</v>
      </c>
      <c r="C44" s="76"/>
      <c r="D44" s="78">
        <f t="shared" si="0"/>
        <v>0</v>
      </c>
      <c r="F44" s="24"/>
      <c r="G44" s="24"/>
    </row>
    <row r="45" spans="1:7">
      <c r="A45" s="76" t="s">
        <v>79</v>
      </c>
      <c r="B45" s="77">
        <f>_xlfn.XLOOKUP(A45,AFRAPR!C42:C82,AFRAPR!W42:W82,0,0)</f>
        <v>2221.0300000000002</v>
      </c>
      <c r="C45" s="76"/>
      <c r="D45" s="78">
        <f t="shared" si="0"/>
        <v>0</v>
      </c>
      <c r="F45" s="24"/>
      <c r="G45" s="24"/>
    </row>
    <row r="46" spans="1:7">
      <c r="A46" s="76" t="s">
        <v>80</v>
      </c>
      <c r="B46" s="77">
        <f>_xlfn.XLOOKUP(A46,AFRAPR!C43:C83,AFRAPR!W43:W83,0,0)</f>
        <v>1695.37</v>
      </c>
      <c r="C46" s="76"/>
      <c r="D46" s="78">
        <f t="shared" si="0"/>
        <v>0</v>
      </c>
      <c r="F46" s="24"/>
      <c r="G46" s="24"/>
    </row>
    <row r="47" spans="1:7">
      <c r="A47" s="76" t="s">
        <v>81</v>
      </c>
      <c r="B47" s="77">
        <f>_xlfn.XLOOKUP(A47,AFRAPR!C44:C84,AFRAPR!W44:W84,0,0)</f>
        <v>2801.41</v>
      </c>
      <c r="C47" s="76"/>
      <c r="D47" s="78">
        <f t="shared" si="0"/>
        <v>0</v>
      </c>
      <c r="F47" s="24"/>
      <c r="G47" s="24"/>
    </row>
    <row r="48" spans="1:7">
      <c r="A48" s="76" t="s">
        <v>111</v>
      </c>
      <c r="B48" s="77">
        <f>_xlfn.XLOOKUP(A48,AFRAPR!C45:C85,AFRAPR!W45:W85,0,0)</f>
        <v>2016.86</v>
      </c>
      <c r="C48" s="76"/>
      <c r="D48" s="78">
        <f t="shared" si="0"/>
        <v>0</v>
      </c>
      <c r="F48" s="24"/>
      <c r="G48" s="24"/>
    </row>
    <row r="49" spans="1:7">
      <c r="A49" s="76"/>
      <c r="B49" s="76"/>
      <c r="C49" s="76"/>
      <c r="D49" s="78">
        <f>SUM(D8:D47)</f>
        <v>0</v>
      </c>
      <c r="F49" s="24"/>
      <c r="G49" s="24"/>
    </row>
    <row r="50" spans="1:7" ht="13">
      <c r="A50" s="7" t="s">
        <v>102</v>
      </c>
      <c r="B50" s="9">
        <f>SUM(B8:B48)/41</f>
        <v>1830.0680487804877</v>
      </c>
      <c r="C50" s="6"/>
      <c r="D50" s="6"/>
      <c r="F50" s="24"/>
      <c r="G50" s="24"/>
    </row>
    <row r="51" spans="1:7">
      <c r="A51" s="6"/>
      <c r="B51" s="6"/>
      <c r="C51" s="6"/>
      <c r="D51" s="6"/>
    </row>
    <row r="52" spans="1:7">
      <c r="A52" s="6"/>
      <c r="B52" s="9"/>
      <c r="C52" s="6"/>
      <c r="D52" s="6"/>
    </row>
    <row r="53" spans="1:7">
      <c r="A53" s="6"/>
      <c r="B53" s="6"/>
      <c r="C53" s="6"/>
      <c r="D53" s="6"/>
    </row>
    <row r="54" spans="1:7">
      <c r="A54" s="6"/>
      <c r="B54" s="6"/>
      <c r="C54" s="6"/>
      <c r="D54" s="6"/>
    </row>
    <row r="55" spans="1:7">
      <c r="A55" s="6"/>
      <c r="B55" s="6"/>
      <c r="C55" s="6"/>
      <c r="D55" s="6"/>
    </row>
    <row r="56" spans="1:7">
      <c r="A56" s="6"/>
      <c r="B56" s="6"/>
      <c r="C56" s="6"/>
      <c r="D56" s="6"/>
    </row>
  </sheetData>
  <phoneticPr fontId="0" type="noConversion"/>
  <printOptions horizontalCentered="1" verticalCentered="1"/>
  <pageMargins left="0.43" right="0.38" top="0.17" bottom="0.17" header="0.17" footer="0.17"/>
  <pageSetup scale="115" orientation="portrait" horizontalDpi="300" verticalDpi="300" r:id="rId1"/>
  <headerFooter alignWithMargins="0">
    <oddFooter>&amp;L&amp;D&amp;RI:\Data\Excel\Cathy\&amp;F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1B01B-89D7-4D75-B0B3-EF624219E5E9}">
  <dimension ref="A1:AA51"/>
  <sheetViews>
    <sheetView zoomScale="85" zoomScaleNormal="85" workbookViewId="0">
      <pane xSplit="3" ySplit="4" topLeftCell="Q5" activePane="bottomRight" state="frozen"/>
      <selection pane="topRight" activeCell="D1" sqref="D1"/>
      <selection pane="bottomLeft" activeCell="A5" sqref="A5"/>
      <selection pane="bottomRight" activeCell="W5" sqref="W5"/>
    </sheetView>
  </sheetViews>
  <sheetFormatPr defaultColWidth="9.1796875" defaultRowHeight="17.5"/>
  <cols>
    <col min="1" max="1" width="5.36328125" style="150" bestFit="1" customWidth="1"/>
    <col min="2" max="2" width="4" style="150" bestFit="1" customWidth="1"/>
    <col min="3" max="3" width="26.81640625" style="150" customWidth="1"/>
    <col min="4" max="4" width="29.54296875" style="83" bestFit="1" customWidth="1"/>
    <col min="5" max="5" width="24.36328125" style="83" bestFit="1" customWidth="1"/>
    <col min="6" max="6" width="19.54296875" style="83" bestFit="1" customWidth="1"/>
    <col min="7" max="7" width="19.6328125" style="83" bestFit="1" customWidth="1"/>
    <col min="8" max="8" width="20.36328125" style="83" bestFit="1" customWidth="1"/>
    <col min="9" max="9" width="24.453125" style="83" bestFit="1" customWidth="1"/>
    <col min="10" max="10" width="21" style="83" bestFit="1" customWidth="1"/>
    <col min="11" max="11" width="20.6328125" style="83" bestFit="1" customWidth="1"/>
    <col min="12" max="12" width="21" style="83" customWidth="1"/>
    <col min="13" max="13" width="14.08984375" style="83" bestFit="1" customWidth="1"/>
    <col min="14" max="14" width="21.90625" style="83" bestFit="1" customWidth="1"/>
    <col min="15" max="15" width="24.36328125" style="83" bestFit="1" customWidth="1"/>
    <col min="16" max="16" width="22.6328125" style="83" bestFit="1" customWidth="1"/>
    <col min="17" max="17" width="20.453125" style="83" bestFit="1" customWidth="1"/>
    <col min="18" max="18" width="19.54296875" style="83" bestFit="1" customWidth="1"/>
    <col min="19" max="19" width="23.1796875" style="83" bestFit="1" customWidth="1"/>
    <col min="20" max="20" width="26.54296875" style="83" bestFit="1" customWidth="1"/>
    <col min="21" max="21" width="15.81640625" style="83" bestFit="1" customWidth="1"/>
    <col min="22" max="22" width="16.81640625" style="83" bestFit="1" customWidth="1"/>
    <col min="23" max="23" width="14" style="83" bestFit="1" customWidth="1"/>
    <col min="24" max="24" width="9.1796875" style="83"/>
    <col min="25" max="25" width="14.1796875" style="83" bestFit="1" customWidth="1"/>
    <col min="26" max="26" width="12.81640625" style="83" bestFit="1" customWidth="1"/>
    <col min="27" max="27" width="9.54296875" style="83" bestFit="1" customWidth="1"/>
    <col min="28" max="16384" width="9.1796875" style="83"/>
  </cols>
  <sheetData>
    <row r="1" spans="1:27" ht="18">
      <c r="A1" s="80"/>
      <c r="B1" s="80"/>
      <c r="C1" s="80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2"/>
      <c r="Y1" s="82"/>
      <c r="Z1" s="82"/>
    </row>
    <row r="2" spans="1:27" ht="18">
      <c r="A2" s="84"/>
      <c r="B2" s="85"/>
      <c r="C2" s="85"/>
      <c r="D2" s="86">
        <v>1</v>
      </c>
      <c r="E2" s="87">
        <v>2</v>
      </c>
      <c r="F2" s="87">
        <v>3</v>
      </c>
      <c r="G2" s="87">
        <v>4</v>
      </c>
      <c r="H2" s="87">
        <v>5</v>
      </c>
      <c r="I2" s="87">
        <v>6</v>
      </c>
      <c r="J2" s="87">
        <v>7</v>
      </c>
      <c r="K2" s="87">
        <v>8</v>
      </c>
      <c r="L2" s="87">
        <v>9</v>
      </c>
      <c r="M2" s="87">
        <v>10</v>
      </c>
      <c r="N2" s="87">
        <v>11</v>
      </c>
      <c r="O2" s="87">
        <v>12</v>
      </c>
      <c r="P2" s="87">
        <v>13</v>
      </c>
      <c r="Q2" s="87">
        <v>14</v>
      </c>
      <c r="R2" s="87">
        <v>15</v>
      </c>
      <c r="S2" s="87">
        <v>16</v>
      </c>
      <c r="T2" s="87">
        <v>17</v>
      </c>
      <c r="U2" s="87">
        <v>18</v>
      </c>
      <c r="V2" s="87">
        <v>19</v>
      </c>
      <c r="W2" s="88">
        <v>20</v>
      </c>
      <c r="X2" s="81"/>
      <c r="Y2" s="81"/>
      <c r="Z2" s="81"/>
    </row>
    <row r="3" spans="1:27" s="95" customFormat="1" ht="72">
      <c r="A3" s="89"/>
      <c r="B3" s="90"/>
      <c r="C3" s="90"/>
      <c r="D3" s="91" t="s">
        <v>222</v>
      </c>
      <c r="E3" s="92" t="s">
        <v>193</v>
      </c>
      <c r="F3" s="92" t="s">
        <v>194</v>
      </c>
      <c r="G3" s="92" t="s">
        <v>195</v>
      </c>
      <c r="H3" s="92" t="s">
        <v>199</v>
      </c>
      <c r="I3" s="92" t="s">
        <v>200</v>
      </c>
      <c r="J3" s="92" t="s">
        <v>201</v>
      </c>
      <c r="K3" s="92" t="s">
        <v>129</v>
      </c>
      <c r="L3" s="92" t="s">
        <v>130</v>
      </c>
      <c r="M3" s="92" t="s">
        <v>99</v>
      </c>
      <c r="N3" s="92" t="s">
        <v>131</v>
      </c>
      <c r="O3" s="92" t="s">
        <v>133</v>
      </c>
      <c r="P3" s="92" t="s">
        <v>202</v>
      </c>
      <c r="Q3" s="92" t="s">
        <v>132</v>
      </c>
      <c r="R3" s="92" t="s">
        <v>134</v>
      </c>
      <c r="S3" s="92" t="s">
        <v>135</v>
      </c>
      <c r="T3" s="92" t="s">
        <v>136</v>
      </c>
      <c r="U3" s="92" t="s">
        <v>900</v>
      </c>
      <c r="V3" s="92" t="s">
        <v>128</v>
      </c>
      <c r="W3" s="93">
        <v>0.5</v>
      </c>
      <c r="X3" s="94"/>
      <c r="Y3" s="94"/>
      <c r="Z3" s="94"/>
    </row>
    <row r="4" spans="1:27" ht="18">
      <c r="A4" s="96" t="s">
        <v>196</v>
      </c>
      <c r="B4" s="97"/>
      <c r="C4" s="98" t="s">
        <v>26</v>
      </c>
      <c r="D4" s="99" t="s">
        <v>27</v>
      </c>
      <c r="E4" s="100" t="s">
        <v>28</v>
      </c>
      <c r="F4" s="100" t="s">
        <v>97</v>
      </c>
      <c r="G4" s="100" t="s">
        <v>98</v>
      </c>
      <c r="H4" s="100" t="s">
        <v>29</v>
      </c>
      <c r="I4" s="100" t="s">
        <v>30</v>
      </c>
      <c r="J4" s="100" t="s">
        <v>31</v>
      </c>
      <c r="K4" s="100" t="s">
        <v>32</v>
      </c>
      <c r="L4" s="100"/>
      <c r="M4" s="100"/>
      <c r="N4" s="100" t="s">
        <v>33</v>
      </c>
      <c r="O4" s="100" t="s">
        <v>34</v>
      </c>
      <c r="P4" s="100" t="s">
        <v>35</v>
      </c>
      <c r="Q4" s="100" t="s">
        <v>36</v>
      </c>
      <c r="R4" s="100" t="s">
        <v>37</v>
      </c>
      <c r="S4" s="100" t="s">
        <v>38</v>
      </c>
      <c r="T4" s="100" t="s">
        <v>39</v>
      </c>
      <c r="U4" s="100" t="s">
        <v>40</v>
      </c>
      <c r="V4" s="100" t="s">
        <v>41</v>
      </c>
      <c r="W4" s="101" t="s">
        <v>42</v>
      </c>
      <c r="X4" s="81"/>
      <c r="Y4" s="81"/>
      <c r="Z4" s="81"/>
    </row>
    <row r="5" spans="1:27" ht="18">
      <c r="A5" s="102" t="s">
        <v>152</v>
      </c>
      <c r="B5" s="103">
        <v>1</v>
      </c>
      <c r="C5" s="80" t="s">
        <v>43</v>
      </c>
      <c r="D5" s="104">
        <v>851320330</v>
      </c>
      <c r="E5" s="105">
        <v>122436473</v>
      </c>
      <c r="F5" s="106">
        <v>6671878</v>
      </c>
      <c r="G5" s="106">
        <v>6065422</v>
      </c>
      <c r="H5" s="107">
        <v>25963549</v>
      </c>
      <c r="I5" s="106">
        <v>17620423</v>
      </c>
      <c r="J5" s="106">
        <v>45334314</v>
      </c>
      <c r="K5" s="108">
        <f>D5+E5-H5-I5-J5</f>
        <v>884838517</v>
      </c>
      <c r="L5" s="107">
        <v>214015548</v>
      </c>
      <c r="M5" s="109">
        <f>VALTAX26!D10+VALTAX26!E10+VALTAX26!H10</f>
        <v>3.5079999999999998E-3</v>
      </c>
      <c r="N5" s="110">
        <f>(VALTAX26!D10/AFRAPR!M5)*AFRAPR!L5</f>
        <v>84129829.159635127</v>
      </c>
      <c r="O5" s="105">
        <v>633990447</v>
      </c>
      <c r="P5" s="105">
        <v>24984866</v>
      </c>
      <c r="Q5" s="107">
        <v>1379194</v>
      </c>
      <c r="R5" s="105">
        <v>0</v>
      </c>
      <c r="S5" s="111">
        <f>SUM(N5:R5)</f>
        <v>744484336.15963507</v>
      </c>
      <c r="T5" s="111">
        <f>K5-S5</f>
        <v>140354180.84036493</v>
      </c>
      <c r="U5" s="151">
        <f>_xlfn.XLOOKUP(B5,FY26_FE_Data_April15[ID],FY26_FE_Data_April15[FY25 ADM - K-12 + SC],0,0)</f>
        <v>83660.10555555555</v>
      </c>
      <c r="V5" s="112">
        <f>T5/U5</f>
        <v>1677.6715724696398</v>
      </c>
      <c r="W5" s="113">
        <f>IF(V5&gt;0,ROUND(V5/2,2),0)</f>
        <v>838.84</v>
      </c>
      <c r="Y5" s="114"/>
      <c r="Z5" s="115"/>
      <c r="AA5" s="116"/>
    </row>
    <row r="6" spans="1:27" ht="18">
      <c r="A6" s="102" t="s">
        <v>153</v>
      </c>
      <c r="B6" s="103">
        <v>2</v>
      </c>
      <c r="C6" s="80" t="s">
        <v>44</v>
      </c>
      <c r="D6" s="104">
        <v>23004417.559999999</v>
      </c>
      <c r="E6" s="105">
        <v>1339803.1200000001</v>
      </c>
      <c r="F6" s="106">
        <v>0</v>
      </c>
      <c r="G6" s="106">
        <v>0</v>
      </c>
      <c r="H6" s="107">
        <v>0</v>
      </c>
      <c r="I6" s="106">
        <v>0</v>
      </c>
      <c r="J6" s="106">
        <v>459061.51</v>
      </c>
      <c r="K6" s="108">
        <f t="shared" ref="K6:K45" si="0">D6+E6-H6-I6-J6</f>
        <v>23885159.169999998</v>
      </c>
      <c r="L6" s="107">
        <v>6914115.6600000001</v>
      </c>
      <c r="M6" s="109">
        <f>VALTAX26!D11+VALTAX26!E11+VALTAX26!H11</f>
        <v>3.9369999999999995E-3</v>
      </c>
      <c r="N6" s="110">
        <f>(VALTAX26!D11/AFRAPR!M6)*AFRAPR!L6</f>
        <v>2421784.4793345188</v>
      </c>
      <c r="O6" s="105">
        <v>14863431.07</v>
      </c>
      <c r="P6" s="105">
        <v>766693.02</v>
      </c>
      <c r="Q6" s="107">
        <v>2392.65</v>
      </c>
      <c r="R6" s="105">
        <v>0</v>
      </c>
      <c r="S6" s="111">
        <f t="shared" ref="S6:S45" si="1">SUM(N6:R6)</f>
        <v>18054301.219334517</v>
      </c>
      <c r="T6" s="111">
        <f t="shared" ref="T6:T45" si="2">K6-S6</f>
        <v>5830857.9506654814</v>
      </c>
      <c r="U6" s="151">
        <f>_xlfn.XLOOKUP(B6,FY26_FE_Data_April15[ID],FY26_FE_Data_April15[FY25 ADM - K-12 + SC],0,0)</f>
        <v>1416.9888888888886</v>
      </c>
      <c r="V6" s="112">
        <f t="shared" ref="V6:V45" si="3">T6/U6</f>
        <v>4114.9637773360837</v>
      </c>
      <c r="W6" s="113">
        <f t="shared" ref="W6:W45" si="4">IF(V6&gt;0,ROUND(V6/2,2),0)</f>
        <v>2057.48</v>
      </c>
      <c r="Y6" s="114"/>
      <c r="Z6" s="115"/>
      <c r="AA6" s="116"/>
    </row>
    <row r="7" spans="1:27" ht="18">
      <c r="A7" s="102" t="s">
        <v>154</v>
      </c>
      <c r="B7" s="103">
        <v>3</v>
      </c>
      <c r="C7" s="80" t="s">
        <v>45</v>
      </c>
      <c r="D7" s="104">
        <v>133483630.97</v>
      </c>
      <c r="E7" s="105">
        <v>11101408.880000001</v>
      </c>
      <c r="F7" s="106">
        <v>224293.07</v>
      </c>
      <c r="G7" s="106">
        <v>1671351</v>
      </c>
      <c r="H7" s="107">
        <v>0</v>
      </c>
      <c r="I7" s="106">
        <v>866521.11</v>
      </c>
      <c r="J7" s="106">
        <v>114991.22</v>
      </c>
      <c r="K7" s="108">
        <f t="shared" si="0"/>
        <v>143603527.51999998</v>
      </c>
      <c r="L7" s="107">
        <v>35322558.200000003</v>
      </c>
      <c r="M7" s="109">
        <f>VALTAX26!D12+VALTAX26!E12+VALTAX26!H12</f>
        <v>4.1289999999999999E-3</v>
      </c>
      <c r="N7" s="110">
        <f>(VALTAX26!D12/AFRAPR!M7)*AFRAPR!L7</f>
        <v>11796998.730394771</v>
      </c>
      <c r="O7" s="105">
        <v>94327917.75</v>
      </c>
      <c r="P7" s="105">
        <v>6691444.5499999998</v>
      </c>
      <c r="Q7" s="107">
        <v>1312515.3999999999</v>
      </c>
      <c r="R7" s="105">
        <v>20112.3</v>
      </c>
      <c r="S7" s="111">
        <f t="shared" si="1"/>
        <v>114148988.73039477</v>
      </c>
      <c r="T7" s="111">
        <f t="shared" si="2"/>
        <v>29454538.789605215</v>
      </c>
      <c r="U7" s="151">
        <f>_xlfn.XLOOKUP(B7,FY26_FE_Data_April15[ID],FY26_FE_Data_April15[FY25 ADM - K-12 + SC],0,0)</f>
        <v>12024.333333333332</v>
      </c>
      <c r="V7" s="112">
        <f t="shared" si="3"/>
        <v>2449.5776999089526</v>
      </c>
      <c r="W7" s="113">
        <f t="shared" si="4"/>
        <v>1224.79</v>
      </c>
      <c r="Y7" s="114"/>
      <c r="Z7" s="115"/>
      <c r="AA7" s="116"/>
    </row>
    <row r="8" spans="1:27" ht="18">
      <c r="A8" s="102" t="s">
        <v>155</v>
      </c>
      <c r="B8" s="103">
        <v>4</v>
      </c>
      <c r="C8" s="80" t="s">
        <v>46</v>
      </c>
      <c r="D8" s="104">
        <v>211860796.84</v>
      </c>
      <c r="E8" s="105">
        <v>54696221.560000002</v>
      </c>
      <c r="F8" s="106">
        <v>0</v>
      </c>
      <c r="G8" s="106">
        <v>0</v>
      </c>
      <c r="H8" s="107">
        <v>25000</v>
      </c>
      <c r="I8" s="106">
        <v>0</v>
      </c>
      <c r="J8" s="106">
        <v>52089537.780000001</v>
      </c>
      <c r="K8" s="108">
        <f t="shared" si="0"/>
        <v>214442480.62</v>
      </c>
      <c r="L8" s="107">
        <v>35196846.219999999</v>
      </c>
      <c r="M8" s="109">
        <f>VALTAX26!D13+VALTAX26!E13+VALTAX26!H13</f>
        <v>2.8519999999999999E-3</v>
      </c>
      <c r="N8" s="110">
        <f>(VALTAX26!D13/AFRAPR!M8)*AFRAPR!L8</f>
        <v>17018390.93176017</v>
      </c>
      <c r="O8" s="105">
        <v>166161083.84</v>
      </c>
      <c r="P8" s="105">
        <v>8750771.1400000006</v>
      </c>
      <c r="Q8" s="107">
        <v>4663037.3</v>
      </c>
      <c r="R8" s="105">
        <v>0</v>
      </c>
      <c r="S8" s="111">
        <f t="shared" si="1"/>
        <v>196593283.21176016</v>
      </c>
      <c r="T8" s="111">
        <f t="shared" si="2"/>
        <v>17849197.408239841</v>
      </c>
      <c r="U8" s="151">
        <f>_xlfn.XLOOKUP(B8,FY26_FE_Data_April15[ID],FY26_FE_Data_April15[FY25 ADM - K-12 + SC],0,0)</f>
        <v>19754.766666666666</v>
      </c>
      <c r="V8" s="112">
        <f t="shared" si="3"/>
        <v>903.53876152623968</v>
      </c>
      <c r="W8" s="113">
        <f t="shared" si="4"/>
        <v>451.77</v>
      </c>
      <c r="Y8" s="114"/>
      <c r="Z8" s="115"/>
      <c r="AA8" s="116"/>
    </row>
    <row r="9" spans="1:27" ht="18">
      <c r="A9" s="102" t="s">
        <v>156</v>
      </c>
      <c r="B9" s="103">
        <v>5</v>
      </c>
      <c r="C9" s="80" t="s">
        <v>47</v>
      </c>
      <c r="D9" s="104">
        <v>43398401.409999996</v>
      </c>
      <c r="E9" s="105">
        <v>6068891.4400000004</v>
      </c>
      <c r="F9" s="106">
        <v>0</v>
      </c>
      <c r="G9" s="106">
        <v>0</v>
      </c>
      <c r="H9" s="107">
        <v>0</v>
      </c>
      <c r="I9" s="106">
        <v>124118.31</v>
      </c>
      <c r="J9" s="106">
        <v>3822069.75</v>
      </c>
      <c r="K9" s="108">
        <f t="shared" si="0"/>
        <v>45521104.789999992</v>
      </c>
      <c r="L9" s="107">
        <v>11447410.039999999</v>
      </c>
      <c r="M9" s="109">
        <f>VALTAX26!D14+VALTAX26!E14+VALTAX26!H14</f>
        <v>4.5170000000000002E-3</v>
      </c>
      <c r="N9" s="110">
        <f>(VALTAX26!D14/AFRAPR!M9)*AFRAPR!L9</f>
        <v>3494792.6599867162</v>
      </c>
      <c r="O9" s="105">
        <v>27728264.620000001</v>
      </c>
      <c r="P9" s="105">
        <v>2459452.41</v>
      </c>
      <c r="Q9" s="107">
        <v>322911.98</v>
      </c>
      <c r="R9" s="105">
        <v>0</v>
      </c>
      <c r="S9" s="111">
        <f t="shared" si="1"/>
        <v>34005421.669986717</v>
      </c>
      <c r="T9" s="111">
        <f t="shared" si="2"/>
        <v>11515683.120013274</v>
      </c>
      <c r="U9" s="151">
        <f>_xlfn.XLOOKUP(B9,FY26_FE_Data_April15[ID],FY26_FE_Data_April15[FY25 ADM - K-12 + SC],0,0)</f>
        <v>3154.7777777777778</v>
      </c>
      <c r="V9" s="112">
        <f t="shared" si="3"/>
        <v>3650.2359060373847</v>
      </c>
      <c r="W9" s="113">
        <f t="shared" si="4"/>
        <v>1825.12</v>
      </c>
      <c r="Y9" s="114"/>
      <c r="Z9" s="115"/>
      <c r="AA9" s="116"/>
    </row>
    <row r="10" spans="1:27" ht="18">
      <c r="A10" s="102" t="s">
        <v>157</v>
      </c>
      <c r="B10" s="103">
        <v>6</v>
      </c>
      <c r="C10" s="80" t="s">
        <v>48</v>
      </c>
      <c r="D10" s="104">
        <v>6065843</v>
      </c>
      <c r="E10" s="105">
        <v>420441</v>
      </c>
      <c r="F10" s="106">
        <v>0</v>
      </c>
      <c r="G10" s="106">
        <v>0</v>
      </c>
      <c r="H10" s="107">
        <v>22850</v>
      </c>
      <c r="I10" s="106">
        <v>62496</v>
      </c>
      <c r="J10" s="106">
        <v>0</v>
      </c>
      <c r="K10" s="108">
        <f t="shared" si="0"/>
        <v>6400938</v>
      </c>
      <c r="L10" s="107">
        <v>1513442</v>
      </c>
      <c r="M10" s="109">
        <f>VALTAX26!D15+VALTAX26!E15+VALTAX26!H15</f>
        <v>2.7460000000000002E-3</v>
      </c>
      <c r="N10" s="110">
        <f>(VALTAX26!D15/AFRAPR!M10)*AFRAPR!L10</f>
        <v>760027.86525855784</v>
      </c>
      <c r="O10" s="105">
        <v>3491467</v>
      </c>
      <c r="P10" s="105">
        <v>274419</v>
      </c>
      <c r="Q10" s="107">
        <v>50000</v>
      </c>
      <c r="R10" s="105">
        <v>0</v>
      </c>
      <c r="S10" s="111">
        <f t="shared" si="1"/>
        <v>4575913.8652585577</v>
      </c>
      <c r="T10" s="111">
        <f t="shared" si="2"/>
        <v>1825024.1347414423</v>
      </c>
      <c r="U10" s="151">
        <f>_xlfn.XLOOKUP(B10,FY26_FE_Data_April15[ID],FY26_FE_Data_April15[FY25 ADM - K-12 + SC],0,0)</f>
        <v>157.72222222222223</v>
      </c>
      <c r="V10" s="112">
        <f t="shared" si="3"/>
        <v>11571.128716219077</v>
      </c>
      <c r="W10" s="113">
        <f t="shared" si="4"/>
        <v>5785.56</v>
      </c>
      <c r="Y10" s="114"/>
      <c r="Z10" s="115"/>
      <c r="AA10" s="116"/>
    </row>
    <row r="11" spans="1:27" ht="18">
      <c r="A11" s="102" t="s">
        <v>158</v>
      </c>
      <c r="B11" s="103">
        <v>7</v>
      </c>
      <c r="C11" s="80" t="s">
        <v>49</v>
      </c>
      <c r="D11" s="104">
        <v>765286781.63999999</v>
      </c>
      <c r="E11" s="105">
        <v>207834791.84</v>
      </c>
      <c r="F11" s="106">
        <v>0</v>
      </c>
      <c r="G11" s="106">
        <v>1500000</v>
      </c>
      <c r="H11" s="107">
        <v>433194.64</v>
      </c>
      <c r="I11" s="106">
        <v>0</v>
      </c>
      <c r="J11" s="106">
        <v>183126098.94999999</v>
      </c>
      <c r="K11" s="108">
        <f t="shared" si="0"/>
        <v>789562279.8900001</v>
      </c>
      <c r="L11" s="107">
        <v>175515974.96000001</v>
      </c>
      <c r="M11" s="109">
        <f>VALTAX26!D16+VALTAX26!E16+VALTAX26!H16</f>
        <v>4.0940000000000004E-3</v>
      </c>
      <c r="N11" s="110">
        <f>(VALTAX26!D16/AFRAPR!M11)*AFRAPR!L11</f>
        <v>59119816.675583772</v>
      </c>
      <c r="O11" s="105">
        <v>542339684.02999997</v>
      </c>
      <c r="P11" s="105">
        <v>37595689.909999996</v>
      </c>
      <c r="Q11" s="107">
        <v>656071.15</v>
      </c>
      <c r="R11" s="105">
        <v>0</v>
      </c>
      <c r="S11" s="111">
        <f t="shared" si="1"/>
        <v>639711261.76558363</v>
      </c>
      <c r="T11" s="111">
        <f t="shared" si="2"/>
        <v>149851018.12441647</v>
      </c>
      <c r="U11" s="151">
        <f>_xlfn.XLOOKUP(B11,FY26_FE_Data_April15[ID],FY26_FE_Data_April15[FY25 ADM - K-12 + SC],0,0)</f>
        <v>68576.311111111107</v>
      </c>
      <c r="V11" s="112">
        <f t="shared" si="3"/>
        <v>2185.1717553255326</v>
      </c>
      <c r="W11" s="113">
        <f t="shared" si="4"/>
        <v>1092.5899999999999</v>
      </c>
      <c r="Y11" s="114"/>
      <c r="Z11" s="115"/>
      <c r="AA11" s="116"/>
    </row>
    <row r="12" spans="1:27" ht="18">
      <c r="A12" s="102" t="s">
        <v>159</v>
      </c>
      <c r="B12" s="103">
        <v>8</v>
      </c>
      <c r="C12" s="80" t="s">
        <v>50</v>
      </c>
      <c r="D12" s="104">
        <v>66317892.530000001</v>
      </c>
      <c r="E12" s="105">
        <v>24741959.73</v>
      </c>
      <c r="F12" s="106">
        <v>2248323.88</v>
      </c>
      <c r="G12" s="106">
        <v>4251718.5599999996</v>
      </c>
      <c r="H12" s="107">
        <v>0</v>
      </c>
      <c r="I12" s="106">
        <v>0</v>
      </c>
      <c r="J12" s="106">
        <v>17878141.670000002</v>
      </c>
      <c r="K12" s="108">
        <f t="shared" si="0"/>
        <v>73181710.590000004</v>
      </c>
      <c r="L12" s="107">
        <v>16897872.73</v>
      </c>
      <c r="M12" s="109">
        <f>VALTAX26!D17+VALTAX26!E17+VALTAX26!H17</f>
        <v>3.6359999999999999E-3</v>
      </c>
      <c r="N12" s="110">
        <f>(VALTAX26!D17/AFRAPR!M12)*AFRAPR!L12</f>
        <v>6408736.6597002205</v>
      </c>
      <c r="O12" s="105">
        <v>45119796.219999999</v>
      </c>
      <c r="P12" s="105">
        <v>3309179.19</v>
      </c>
      <c r="Q12" s="107">
        <v>4834937.38</v>
      </c>
      <c r="R12" s="105">
        <v>0</v>
      </c>
      <c r="S12" s="111">
        <f t="shared" si="1"/>
        <v>59672649.449700221</v>
      </c>
      <c r="T12" s="111">
        <f t="shared" si="2"/>
        <v>13509061.140299782</v>
      </c>
      <c r="U12" s="151">
        <f>_xlfn.XLOOKUP(B12,FY26_FE_Data_April15[ID],FY26_FE_Data_April15[FY25 ADM - K-12 + SC],0,0)</f>
        <v>4932.9444444444443</v>
      </c>
      <c r="V12" s="112">
        <f t="shared" si="3"/>
        <v>2738.5390799431948</v>
      </c>
      <c r="W12" s="113">
        <f t="shared" si="4"/>
        <v>1369.27</v>
      </c>
      <c r="Y12" s="114"/>
      <c r="Z12" s="115"/>
      <c r="AA12" s="116"/>
    </row>
    <row r="13" spans="1:27" ht="17" customHeight="1">
      <c r="A13" s="102" t="s">
        <v>160</v>
      </c>
      <c r="B13" s="103">
        <v>9</v>
      </c>
      <c r="C13" s="80" t="s">
        <v>51</v>
      </c>
      <c r="D13" s="104">
        <v>42285439</v>
      </c>
      <c r="E13" s="105">
        <v>942946</v>
      </c>
      <c r="F13" s="106">
        <v>0</v>
      </c>
      <c r="G13" s="106">
        <v>0</v>
      </c>
      <c r="H13" s="107">
        <v>0</v>
      </c>
      <c r="I13" s="106">
        <v>0</v>
      </c>
      <c r="J13" s="106">
        <v>350393</v>
      </c>
      <c r="K13" s="108">
        <f t="shared" si="0"/>
        <v>42877992</v>
      </c>
      <c r="L13" s="107">
        <v>12289897</v>
      </c>
      <c r="M13" s="109">
        <f>VALTAX26!D18+VALTAX26!E18+VALTAX26!H18</f>
        <v>5.2820000000000002E-3</v>
      </c>
      <c r="N13" s="110">
        <f>(VALTAX26!D18/AFRAPR!M13)*AFRAPR!L13</f>
        <v>3208589.1637637257</v>
      </c>
      <c r="O13" s="105">
        <v>23044446</v>
      </c>
      <c r="P13" s="105">
        <v>1282033</v>
      </c>
      <c r="Q13" s="107">
        <v>0</v>
      </c>
      <c r="R13" s="105">
        <v>0</v>
      </c>
      <c r="S13" s="111">
        <f t="shared" si="1"/>
        <v>27535068.163763724</v>
      </c>
      <c r="T13" s="111">
        <f t="shared" si="2"/>
        <v>15342923.836236276</v>
      </c>
      <c r="U13" s="151">
        <f>_xlfn.XLOOKUP(B13,FY26_FE_Data_April15[ID],FY26_FE_Data_April15[FY25 ADM - K-12 + SC],0,0)</f>
        <v>1933.5722222222221</v>
      </c>
      <c r="V13" s="112">
        <f t="shared" si="3"/>
        <v>7935.0146117650111</v>
      </c>
      <c r="W13" s="113">
        <f t="shared" si="4"/>
        <v>3967.51</v>
      </c>
      <c r="Y13" s="114"/>
      <c r="Z13" s="115"/>
      <c r="AA13" s="116"/>
    </row>
    <row r="14" spans="1:27" ht="18">
      <c r="A14" s="102" t="s">
        <v>161</v>
      </c>
      <c r="B14" s="103">
        <v>10</v>
      </c>
      <c r="C14" s="80" t="s">
        <v>52</v>
      </c>
      <c r="D14" s="104">
        <v>19519193</v>
      </c>
      <c r="E14" s="105">
        <v>4859972</v>
      </c>
      <c r="F14" s="106">
        <v>210648</v>
      </c>
      <c r="G14" s="106">
        <v>1325705</v>
      </c>
      <c r="H14" s="107">
        <v>17173</v>
      </c>
      <c r="I14" s="106">
        <v>0</v>
      </c>
      <c r="J14" s="106">
        <v>3050070</v>
      </c>
      <c r="K14" s="108">
        <f t="shared" si="0"/>
        <v>21311922</v>
      </c>
      <c r="L14" s="107">
        <v>3734784</v>
      </c>
      <c r="M14" s="109">
        <f>VALTAX26!D19+VALTAX26!E19+VALTAX26!H19</f>
        <v>3.3790000000000001E-3</v>
      </c>
      <c r="N14" s="110">
        <f>(VALTAX26!D19/AFRAPR!M14)*AFRAPR!L14</f>
        <v>1524198.6197099735</v>
      </c>
      <c r="O14" s="105">
        <v>17846827</v>
      </c>
      <c r="P14" s="105">
        <v>635382</v>
      </c>
      <c r="Q14" s="107">
        <v>234672</v>
      </c>
      <c r="R14" s="105">
        <v>10820</v>
      </c>
      <c r="S14" s="111">
        <f t="shared" si="1"/>
        <v>20251899.619709972</v>
      </c>
      <c r="T14" s="111">
        <f t="shared" si="2"/>
        <v>1060022.3802900277</v>
      </c>
      <c r="U14" s="151">
        <f>_xlfn.XLOOKUP(B14,FY26_FE_Data_April15[ID],FY26_FE_Data_April15[FY25 ADM - K-12 + SC],0,0)</f>
        <v>1500.9</v>
      </c>
      <c r="V14" s="112">
        <f t="shared" si="3"/>
        <v>706.25783216072205</v>
      </c>
      <c r="W14" s="113">
        <f t="shared" si="4"/>
        <v>353.13</v>
      </c>
      <c r="Y14" s="114"/>
      <c r="Z14" s="115"/>
      <c r="AA14" s="116"/>
    </row>
    <row r="15" spans="1:27" ht="18">
      <c r="A15" s="102" t="s">
        <v>162</v>
      </c>
      <c r="B15" s="103">
        <v>11</v>
      </c>
      <c r="C15" s="80" t="s">
        <v>53</v>
      </c>
      <c r="D15" s="104">
        <v>24496900.460000001</v>
      </c>
      <c r="E15" s="105">
        <v>7233026.4400000004</v>
      </c>
      <c r="F15" s="106">
        <v>1222252.2</v>
      </c>
      <c r="G15" s="106">
        <v>1190000</v>
      </c>
      <c r="H15" s="107">
        <v>0</v>
      </c>
      <c r="I15" s="106">
        <v>0</v>
      </c>
      <c r="J15" s="106">
        <v>4097259.87</v>
      </c>
      <c r="K15" s="108">
        <f t="shared" si="0"/>
        <v>27632667.030000001</v>
      </c>
      <c r="L15" s="107">
        <v>14773788.08</v>
      </c>
      <c r="M15" s="109">
        <f>VALTAX26!D20+VALTAX26!E20+VALTAX26!H20</f>
        <v>3.7680000000000001E-3</v>
      </c>
      <c r="N15" s="110">
        <f>(VALTAX26!D20/AFRAPR!M15)*AFRAPR!L15</f>
        <v>5406861.4018895971</v>
      </c>
      <c r="O15" s="105">
        <v>9140538.1799999997</v>
      </c>
      <c r="P15" s="105">
        <v>1529560.23</v>
      </c>
      <c r="Q15" s="107">
        <v>0</v>
      </c>
      <c r="R15" s="105">
        <v>0</v>
      </c>
      <c r="S15" s="111">
        <f t="shared" si="1"/>
        <v>16076959.811889596</v>
      </c>
      <c r="T15" s="111">
        <f t="shared" si="2"/>
        <v>11555707.218110405</v>
      </c>
      <c r="U15" s="151">
        <f>_xlfn.XLOOKUP(B15,FY26_FE_Data_April15[ID],FY26_FE_Data_April15[FY25 ADM - K-12 + SC],0,0)</f>
        <v>1361.0722222222223</v>
      </c>
      <c r="V15" s="112">
        <f t="shared" si="3"/>
        <v>8490.1499196298373</v>
      </c>
      <c r="W15" s="113">
        <f t="shared" si="4"/>
        <v>4245.07</v>
      </c>
      <c r="Y15" s="114"/>
      <c r="Z15" s="115"/>
      <c r="AA15" s="116"/>
    </row>
    <row r="16" spans="1:27" ht="18">
      <c r="A16" s="102" t="s">
        <v>163</v>
      </c>
      <c r="B16" s="103">
        <v>12</v>
      </c>
      <c r="C16" s="80" t="s">
        <v>54</v>
      </c>
      <c r="D16" s="104">
        <v>675771249.50999999</v>
      </c>
      <c r="E16" s="105">
        <v>104985804.58</v>
      </c>
      <c r="F16" s="106">
        <v>40532.01</v>
      </c>
      <c r="G16" s="106">
        <v>365969.2</v>
      </c>
      <c r="H16" s="107">
        <v>499122.18</v>
      </c>
      <c r="I16" s="106">
        <v>0</v>
      </c>
      <c r="J16" s="106">
        <v>79115228.079999998</v>
      </c>
      <c r="K16" s="108">
        <f t="shared" si="0"/>
        <v>701142703.83000004</v>
      </c>
      <c r="L16" s="107">
        <v>196048443.78</v>
      </c>
      <c r="M16" s="109">
        <f>VALTAX26!D21+VALTAX26!E21+VALTAX26!H21</f>
        <v>3.5999999999999999E-3</v>
      </c>
      <c r="N16" s="110">
        <f>(VALTAX26!D21/AFRAPR!M16)*AFRAPR!L16</f>
        <v>75097445.547950014</v>
      </c>
      <c r="O16" s="105">
        <v>421177539.14999998</v>
      </c>
      <c r="P16" s="105">
        <v>45601525.380000003</v>
      </c>
      <c r="Q16" s="107">
        <v>1908047.81</v>
      </c>
      <c r="R16" s="105">
        <v>8053505.71</v>
      </c>
      <c r="S16" s="111">
        <f t="shared" si="1"/>
        <v>551838063.59794998</v>
      </c>
      <c r="T16" s="111">
        <f t="shared" si="2"/>
        <v>149304640.23205006</v>
      </c>
      <c r="U16" s="151">
        <f>_xlfn.XLOOKUP(B16,FY26_FE_Data_April15[ID],FY26_FE_Data_April15[FY25 ADM - K-12 + SC],0,0)</f>
        <v>55278.977777777778</v>
      </c>
      <c r="V16" s="112">
        <f t="shared" si="3"/>
        <v>2700.9298332587969</v>
      </c>
      <c r="W16" s="113">
        <f t="shared" si="4"/>
        <v>1350.46</v>
      </c>
      <c r="Y16" s="114"/>
      <c r="Z16" s="115"/>
      <c r="AA16" s="116"/>
    </row>
    <row r="17" spans="1:27" ht="18">
      <c r="A17" s="102" t="s">
        <v>164</v>
      </c>
      <c r="B17" s="103">
        <v>13</v>
      </c>
      <c r="C17" s="80" t="s">
        <v>55</v>
      </c>
      <c r="D17" s="104">
        <v>135924307.94</v>
      </c>
      <c r="E17" s="105">
        <v>35281664.369999997</v>
      </c>
      <c r="F17" s="106">
        <v>460279.52</v>
      </c>
      <c r="G17" s="106">
        <v>1265284</v>
      </c>
      <c r="H17" s="107">
        <v>1139282.03</v>
      </c>
      <c r="I17" s="106">
        <v>0</v>
      </c>
      <c r="J17" s="106">
        <v>24640667.829999998</v>
      </c>
      <c r="K17" s="108">
        <f t="shared" si="0"/>
        <v>145426022.44999999</v>
      </c>
      <c r="L17" s="107">
        <v>28446563.59</v>
      </c>
      <c r="M17" s="109">
        <f>VALTAX26!D22+VALTAX26!E22+VALTAX26!H22</f>
        <v>3.0499999999999998E-3</v>
      </c>
      <c r="N17" s="110">
        <f>(VALTAX26!D22/AFRAPR!M17)*AFRAPR!L17</f>
        <v>12861577.439544264</v>
      </c>
      <c r="O17" s="105">
        <v>104233304.08</v>
      </c>
      <c r="P17" s="105">
        <v>8155953.21</v>
      </c>
      <c r="Q17" s="107">
        <v>1724917.94</v>
      </c>
      <c r="R17" s="105">
        <v>210524.46</v>
      </c>
      <c r="S17" s="111">
        <f t="shared" si="1"/>
        <v>127186277.12954424</v>
      </c>
      <c r="T17" s="111">
        <f t="shared" si="2"/>
        <v>18239745.320455745</v>
      </c>
      <c r="U17" s="151">
        <f>_xlfn.XLOOKUP(B17,FY26_FE_Data_April15[ID],FY26_FE_Data_April15[FY25 ADM - K-12 + SC],0,0)</f>
        <v>13698.722222222224</v>
      </c>
      <c r="V17" s="112">
        <f t="shared" si="3"/>
        <v>1331.4924578050807</v>
      </c>
      <c r="W17" s="113">
        <f t="shared" si="4"/>
        <v>665.75</v>
      </c>
      <c r="Y17" s="114"/>
      <c r="Z17" s="115"/>
      <c r="AA17" s="116"/>
    </row>
    <row r="18" spans="1:27" ht="18">
      <c r="A18" s="102" t="s">
        <v>165</v>
      </c>
      <c r="B18" s="103">
        <v>14</v>
      </c>
      <c r="C18" s="80" t="s">
        <v>56</v>
      </c>
      <c r="D18" s="104">
        <v>597799288.64999998</v>
      </c>
      <c r="E18" s="105">
        <v>54524904.530000001</v>
      </c>
      <c r="F18" s="106">
        <v>2397947</v>
      </c>
      <c r="G18" s="106">
        <v>3108000</v>
      </c>
      <c r="H18" s="107">
        <v>4978194.04</v>
      </c>
      <c r="I18" s="106">
        <v>0</v>
      </c>
      <c r="J18" s="106">
        <v>33072210.27</v>
      </c>
      <c r="K18" s="108">
        <f t="shared" si="0"/>
        <v>614273788.87</v>
      </c>
      <c r="L18" s="107">
        <v>175457730.66999999</v>
      </c>
      <c r="M18" s="109">
        <f>VALTAX26!D23+VALTAX26!E23+VALTAX26!H23</f>
        <v>3.6179999999999997E-3</v>
      </c>
      <c r="N18" s="110">
        <f>(VALTAX26!D23/AFRAPR!M18)*AFRAPR!L18</f>
        <v>66875680.097824767</v>
      </c>
      <c r="O18" s="105">
        <v>394833720.64999998</v>
      </c>
      <c r="P18" s="105">
        <v>18556683.050000001</v>
      </c>
      <c r="Q18" s="107">
        <v>236189.05</v>
      </c>
      <c r="R18" s="105">
        <v>953102.87</v>
      </c>
      <c r="S18" s="111">
        <f t="shared" si="1"/>
        <v>481455375.71782476</v>
      </c>
      <c r="T18" s="111">
        <f t="shared" si="2"/>
        <v>132818413.15217525</v>
      </c>
      <c r="U18" s="151">
        <f>_xlfn.XLOOKUP(B18,FY26_FE_Data_April15[ID],FY26_FE_Data_April15[FY25 ADM - K-12 + SC],0,0)</f>
        <v>56339.372222222228</v>
      </c>
      <c r="V18" s="112">
        <f t="shared" si="3"/>
        <v>2357.4705914061819</v>
      </c>
      <c r="W18" s="113">
        <f t="shared" si="4"/>
        <v>1178.74</v>
      </c>
      <c r="Y18" s="114"/>
      <c r="Z18" s="115"/>
      <c r="AA18" s="116"/>
    </row>
    <row r="19" spans="1:27" ht="18">
      <c r="A19" s="102" t="s">
        <v>166</v>
      </c>
      <c r="B19" s="103">
        <v>15</v>
      </c>
      <c r="C19" s="80" t="s">
        <v>57</v>
      </c>
      <c r="D19" s="104">
        <v>33983019.049999997</v>
      </c>
      <c r="E19" s="105">
        <v>4938396.88</v>
      </c>
      <c r="F19" s="106">
        <v>179332.31</v>
      </c>
      <c r="G19" s="106">
        <v>489937.5</v>
      </c>
      <c r="H19" s="107">
        <v>65064.5</v>
      </c>
      <c r="I19" s="106">
        <v>823384.45</v>
      </c>
      <c r="J19" s="106">
        <v>815176.69</v>
      </c>
      <c r="K19" s="108">
        <f t="shared" si="0"/>
        <v>37217790.289999999</v>
      </c>
      <c r="L19" s="107">
        <v>8202134.2999999998</v>
      </c>
      <c r="M19" s="109">
        <f>VALTAX26!D24+VALTAX26!E24+VALTAX26!H24</f>
        <v>3.4039999999999999E-3</v>
      </c>
      <c r="N19" s="110">
        <f>(VALTAX26!D24/AFRAPR!M19)*AFRAPR!L19</f>
        <v>3322780.0234136311</v>
      </c>
      <c r="O19" s="105">
        <v>24708064.510000002</v>
      </c>
      <c r="P19" s="105">
        <v>1371230.18</v>
      </c>
      <c r="Q19" s="107">
        <v>953162.59</v>
      </c>
      <c r="R19" s="105">
        <v>0</v>
      </c>
      <c r="S19" s="111">
        <f t="shared" si="1"/>
        <v>30355237.303413633</v>
      </c>
      <c r="T19" s="111">
        <f t="shared" si="2"/>
        <v>6862552.9865863658</v>
      </c>
      <c r="U19" s="151">
        <f>_xlfn.XLOOKUP(B19,FY26_FE_Data_April15[ID],FY26_FE_Data_April15[FY25 ADM - K-12 + SC],0,0)</f>
        <v>2608.1388888888887</v>
      </c>
      <c r="V19" s="112">
        <f t="shared" si="3"/>
        <v>2631.2068792892887</v>
      </c>
      <c r="W19" s="113">
        <f t="shared" si="4"/>
        <v>1315.6</v>
      </c>
      <c r="Y19" s="114"/>
      <c r="Z19" s="115"/>
      <c r="AA19" s="116"/>
    </row>
    <row r="20" spans="1:27" ht="18">
      <c r="A20" s="102" t="s">
        <v>167</v>
      </c>
      <c r="B20" s="103">
        <v>16</v>
      </c>
      <c r="C20" s="80" t="s">
        <v>58</v>
      </c>
      <c r="D20" s="104">
        <v>22098294.690000001</v>
      </c>
      <c r="E20" s="105">
        <v>3729030.87</v>
      </c>
      <c r="F20" s="106">
        <v>508193.99</v>
      </c>
      <c r="G20" s="106">
        <v>820000</v>
      </c>
      <c r="H20" s="107">
        <v>50000</v>
      </c>
      <c r="I20" s="106">
        <v>0</v>
      </c>
      <c r="J20" s="106">
        <v>399899.58</v>
      </c>
      <c r="K20" s="108">
        <f t="shared" si="0"/>
        <v>25377425.980000004</v>
      </c>
      <c r="L20" s="107">
        <v>7875019.5599999996</v>
      </c>
      <c r="M20" s="109">
        <f>VALTAX26!D25+VALTAX26!E25+VALTAX26!H25</f>
        <v>2.9240000000000004E-3</v>
      </c>
      <c r="N20" s="110">
        <f>(VALTAX26!D25/AFRAPR!M20)*AFRAPR!L20</f>
        <v>3713971.2630779748</v>
      </c>
      <c r="O20" s="105">
        <v>13952589.060000001</v>
      </c>
      <c r="P20" s="105">
        <v>610504.80000000005</v>
      </c>
      <c r="Q20" s="107">
        <v>41358.720000000001</v>
      </c>
      <c r="R20" s="105">
        <v>294633.86</v>
      </c>
      <c r="S20" s="111">
        <f t="shared" si="1"/>
        <v>18613057.703077976</v>
      </c>
      <c r="T20" s="111">
        <f t="shared" si="2"/>
        <v>6764368.2769220285</v>
      </c>
      <c r="U20" s="151">
        <f>_xlfn.XLOOKUP(B20,FY26_FE_Data_April15[ID],FY26_FE_Data_April15[FY25 ADM - K-12 + SC],0,0)</f>
        <v>1392.7277777777776</v>
      </c>
      <c r="V20" s="112">
        <f t="shared" si="3"/>
        <v>4856.9206307604391</v>
      </c>
      <c r="W20" s="113">
        <f t="shared" si="4"/>
        <v>2428.46</v>
      </c>
      <c r="Y20" s="114"/>
      <c r="Z20" s="115"/>
      <c r="AA20" s="116"/>
    </row>
    <row r="21" spans="1:27" ht="18">
      <c r="A21" s="102" t="s">
        <v>168</v>
      </c>
      <c r="B21" s="103">
        <v>17</v>
      </c>
      <c r="C21" s="80" t="s">
        <v>59</v>
      </c>
      <c r="D21" s="104">
        <v>43496220.93</v>
      </c>
      <c r="E21" s="105">
        <v>39673721.799999997</v>
      </c>
      <c r="F21" s="106">
        <v>2888114.71</v>
      </c>
      <c r="G21" s="106">
        <v>574000</v>
      </c>
      <c r="H21" s="107">
        <v>169037.75</v>
      </c>
      <c r="I21" s="106">
        <v>34066425.880000003</v>
      </c>
      <c r="J21" s="106">
        <v>0</v>
      </c>
      <c r="K21" s="108">
        <f t="shared" si="0"/>
        <v>48934479.099999987</v>
      </c>
      <c r="L21" s="107">
        <v>14290443.52</v>
      </c>
      <c r="M21" s="109">
        <f>VALTAX26!D26+VALTAX26!E26+VALTAX26!H26</f>
        <v>3.6120000000000002E-3</v>
      </c>
      <c r="N21" s="110">
        <f>(VALTAX26!D26/AFRAPR!M21)*AFRAPR!L21</f>
        <v>5455847.6229457362</v>
      </c>
      <c r="O21" s="105">
        <v>26579647.390000001</v>
      </c>
      <c r="P21" s="105">
        <v>1831243.14</v>
      </c>
      <c r="Q21" s="107">
        <v>31104.49</v>
      </c>
      <c r="R21" s="105">
        <v>185416.14</v>
      </c>
      <c r="S21" s="111">
        <f t="shared" si="1"/>
        <v>34083258.782945737</v>
      </c>
      <c r="T21" s="111">
        <f t="shared" si="2"/>
        <v>14851220.317054249</v>
      </c>
      <c r="U21" s="151">
        <f>_xlfn.XLOOKUP(B21,FY26_FE_Data_April15[ID],FY26_FE_Data_April15[FY25 ADM - K-12 + SC],0,0)</f>
        <v>3015.9777777777786</v>
      </c>
      <c r="V21" s="112">
        <f t="shared" si="3"/>
        <v>4924.180949369219</v>
      </c>
      <c r="W21" s="113">
        <f t="shared" si="4"/>
        <v>2462.09</v>
      </c>
      <c r="Y21" s="114"/>
      <c r="Z21" s="115"/>
      <c r="AA21" s="116"/>
    </row>
    <row r="22" spans="1:27" ht="18">
      <c r="A22" s="102" t="s">
        <v>169</v>
      </c>
      <c r="B22" s="103">
        <v>18</v>
      </c>
      <c r="C22" s="80" t="s">
        <v>60</v>
      </c>
      <c r="D22" s="104">
        <v>37821026.899999999</v>
      </c>
      <c r="E22" s="105">
        <v>9517561.7100000009</v>
      </c>
      <c r="F22" s="106">
        <v>575.58000000000004</v>
      </c>
      <c r="G22" s="106">
        <v>286000</v>
      </c>
      <c r="H22" s="107">
        <v>314710.49</v>
      </c>
      <c r="I22" s="106">
        <v>2392200.85</v>
      </c>
      <c r="J22" s="106">
        <v>6012983.6900000004</v>
      </c>
      <c r="K22" s="108">
        <f t="shared" si="0"/>
        <v>38618693.579999998</v>
      </c>
      <c r="L22" s="107">
        <v>10036696.539999999</v>
      </c>
      <c r="M22" s="109">
        <f>VALTAX26!D27+VALTAX26!E27+VALTAX26!H27</f>
        <v>3.2659999999999998E-3</v>
      </c>
      <c r="N22" s="110">
        <f>(VALTAX26!D27/AFRAPR!M22)*AFRAPR!L22</f>
        <v>4237784.607672995</v>
      </c>
      <c r="O22" s="105">
        <v>23502777.43</v>
      </c>
      <c r="P22" s="105">
        <v>713336.45</v>
      </c>
      <c r="Q22" s="107">
        <v>14224.42</v>
      </c>
      <c r="R22" s="105">
        <v>0</v>
      </c>
      <c r="S22" s="111">
        <f t="shared" si="1"/>
        <v>28468122.907672998</v>
      </c>
      <c r="T22" s="111">
        <f t="shared" si="2"/>
        <v>10150570.672327001</v>
      </c>
      <c r="U22" s="151">
        <f>_xlfn.XLOOKUP(B22,FY26_FE_Data_April15[ID],FY26_FE_Data_April15[FY25 ADM - K-12 + SC],0,0)</f>
        <v>3109.3722222222223</v>
      </c>
      <c r="V22" s="112">
        <f t="shared" si="3"/>
        <v>3264.508057215658</v>
      </c>
      <c r="W22" s="113">
        <f t="shared" si="4"/>
        <v>1632.25</v>
      </c>
      <c r="Y22" s="114"/>
      <c r="Z22" s="115"/>
      <c r="AA22" s="116"/>
    </row>
    <row r="23" spans="1:27" ht="18">
      <c r="A23" s="102" t="s">
        <v>170</v>
      </c>
      <c r="B23" s="103">
        <v>19</v>
      </c>
      <c r="C23" s="80" t="s">
        <v>61</v>
      </c>
      <c r="D23" s="104">
        <v>400239022.33999997</v>
      </c>
      <c r="E23" s="105">
        <v>146345191.53999999</v>
      </c>
      <c r="F23" s="106">
        <v>5754587.5</v>
      </c>
      <c r="G23" s="106">
        <v>6755000</v>
      </c>
      <c r="H23" s="107">
        <v>407834.3</v>
      </c>
      <c r="I23" s="106">
        <v>9163256.2699999996</v>
      </c>
      <c r="J23" s="106">
        <v>121029467.81999999</v>
      </c>
      <c r="K23" s="108">
        <f t="shared" si="0"/>
        <v>415983655.49000007</v>
      </c>
      <c r="L23" s="107">
        <v>78995818.829999998</v>
      </c>
      <c r="M23" s="109">
        <f>VALTAX26!D28+VALTAX26!E28+VALTAX26!H28</f>
        <v>3.833E-3</v>
      </c>
      <c r="N23" s="110">
        <f>(VALTAX26!D28/AFRAPR!M23)*AFRAPR!L23</f>
        <v>28420358.509410381</v>
      </c>
      <c r="O23" s="105">
        <v>335898158.52999997</v>
      </c>
      <c r="P23" s="105">
        <v>12668432.08</v>
      </c>
      <c r="Q23" s="107">
        <v>10034724.58</v>
      </c>
      <c r="R23" s="105">
        <v>0</v>
      </c>
      <c r="S23" s="111">
        <f t="shared" si="1"/>
        <v>387021673.69941032</v>
      </c>
      <c r="T23" s="111">
        <f t="shared" si="2"/>
        <v>28961981.79058975</v>
      </c>
      <c r="U23" s="151">
        <f>_xlfn.XLOOKUP(B23,FY26_FE_Data_April15[ID],FY26_FE_Data_April15[FY25 ADM - K-12 + SC],0,0)</f>
        <v>42277.127777777787</v>
      </c>
      <c r="V23" s="112">
        <f t="shared" si="3"/>
        <v>685.05083748411823</v>
      </c>
      <c r="W23" s="113">
        <f t="shared" si="4"/>
        <v>342.53</v>
      </c>
      <c r="Y23" s="114"/>
      <c r="Z23" s="115"/>
      <c r="AA23" s="116"/>
    </row>
    <row r="24" spans="1:27" ht="18">
      <c r="A24" s="102" t="s">
        <v>171</v>
      </c>
      <c r="B24" s="103">
        <v>20</v>
      </c>
      <c r="C24" s="80" t="s">
        <v>62</v>
      </c>
      <c r="D24" s="104">
        <v>33556807.130000003</v>
      </c>
      <c r="E24" s="105">
        <v>7234818.8099999996</v>
      </c>
      <c r="F24" s="106">
        <v>0</v>
      </c>
      <c r="G24" s="106">
        <v>0</v>
      </c>
      <c r="H24" s="107">
        <v>949367.98</v>
      </c>
      <c r="I24" s="106">
        <v>5095288.46</v>
      </c>
      <c r="J24" s="106">
        <v>0</v>
      </c>
      <c r="K24" s="108">
        <f t="shared" si="0"/>
        <v>34746969.500000007</v>
      </c>
      <c r="L24" s="107">
        <v>5871224.2199999997</v>
      </c>
      <c r="M24" s="109">
        <f>VALTAX26!D29+VALTAX26!E29+VALTAX26!H29</f>
        <v>3.1619999999999999E-3</v>
      </c>
      <c r="N24" s="110">
        <f>(VALTAX26!D29/AFRAPR!M24)*AFRAPR!L24</f>
        <v>2560537.0649525616</v>
      </c>
      <c r="O24" s="105">
        <v>24726143.41</v>
      </c>
      <c r="P24" s="105">
        <v>2281438.0499999998</v>
      </c>
      <c r="Q24" s="107">
        <v>4398294.79</v>
      </c>
      <c r="R24" s="105">
        <v>0</v>
      </c>
      <c r="S24" s="111">
        <f t="shared" si="1"/>
        <v>33966413.314952567</v>
      </c>
      <c r="T24" s="111">
        <f t="shared" si="2"/>
        <v>780556.18504744023</v>
      </c>
      <c r="U24" s="151">
        <f>_xlfn.XLOOKUP(B24,FY26_FE_Data_April15[ID],FY26_FE_Data_April15[FY25 ADM - K-12 + SC],0,0)</f>
        <v>2457.7277777777776</v>
      </c>
      <c r="V24" s="112">
        <f t="shared" si="3"/>
        <v>317.59261221078015</v>
      </c>
      <c r="W24" s="113">
        <f t="shared" si="4"/>
        <v>158.80000000000001</v>
      </c>
      <c r="Y24" s="114"/>
      <c r="Z24" s="115"/>
      <c r="AA24" s="116"/>
    </row>
    <row r="25" spans="1:27" ht="18">
      <c r="A25" s="102" t="s">
        <v>172</v>
      </c>
      <c r="B25" s="103">
        <v>21</v>
      </c>
      <c r="C25" s="80" t="s">
        <v>63</v>
      </c>
      <c r="D25" s="104">
        <v>16223570.960000001</v>
      </c>
      <c r="E25" s="105">
        <v>1833504.85</v>
      </c>
      <c r="F25" s="106">
        <v>0</v>
      </c>
      <c r="G25" s="106">
        <v>0</v>
      </c>
      <c r="H25" s="107">
        <v>15534.61</v>
      </c>
      <c r="I25" s="106">
        <v>1181489.6200000001</v>
      </c>
      <c r="J25" s="106">
        <v>0</v>
      </c>
      <c r="K25" s="108">
        <f t="shared" si="0"/>
        <v>16860051.580000002</v>
      </c>
      <c r="L25" s="107">
        <v>11154099.859999999</v>
      </c>
      <c r="M25" s="109">
        <f>VALTAX26!D30+VALTAX26!E30+VALTAX26!H30</f>
        <v>2.6450000000000002E-3</v>
      </c>
      <c r="N25" s="110">
        <f>(VALTAX26!D30/AFRAPR!M25)*AFRAPR!L25</f>
        <v>5815313.310752362</v>
      </c>
      <c r="O25" s="105">
        <v>5244680.4000000004</v>
      </c>
      <c r="P25" s="105">
        <v>399642.89</v>
      </c>
      <c r="Q25" s="107">
        <v>0</v>
      </c>
      <c r="R25" s="105">
        <v>0</v>
      </c>
      <c r="S25" s="111">
        <f t="shared" si="1"/>
        <v>11459636.600752363</v>
      </c>
      <c r="T25" s="111">
        <f t="shared" si="2"/>
        <v>5400414.979247639</v>
      </c>
      <c r="U25" s="151">
        <f>_xlfn.XLOOKUP(B25,FY26_FE_Data_April15[ID],FY26_FE_Data_April15[FY25 ADM - K-12 + SC],0,0)</f>
        <v>1027.0555555555554</v>
      </c>
      <c r="V25" s="112">
        <f t="shared" si="3"/>
        <v>5258.1527357850118</v>
      </c>
      <c r="W25" s="113">
        <f t="shared" si="4"/>
        <v>2629.08</v>
      </c>
      <c r="Y25" s="114"/>
      <c r="Z25" s="115"/>
      <c r="AA25" s="116"/>
    </row>
    <row r="26" spans="1:27" ht="18">
      <c r="A26" s="102" t="s">
        <v>173</v>
      </c>
      <c r="B26" s="103">
        <v>22</v>
      </c>
      <c r="C26" s="80" t="s">
        <v>64</v>
      </c>
      <c r="D26" s="104">
        <v>114038441</v>
      </c>
      <c r="E26" s="105">
        <v>43897051</v>
      </c>
      <c r="F26" s="106">
        <v>0</v>
      </c>
      <c r="G26" s="106">
        <v>0</v>
      </c>
      <c r="H26" s="107">
        <v>994461</v>
      </c>
      <c r="I26" s="106">
        <v>61127</v>
      </c>
      <c r="J26" s="106">
        <v>41815488</v>
      </c>
      <c r="K26" s="108">
        <f t="shared" si="0"/>
        <v>115064416</v>
      </c>
      <c r="L26" s="107">
        <v>99308746</v>
      </c>
      <c r="M26" s="109">
        <f>VALTAX26!D31+VALTAX26!E31+VALTAX26!H31</f>
        <v>3.1819999999999999E-3</v>
      </c>
      <c r="N26" s="110">
        <f>(VALTAX26!D31/AFRAPR!M26)*AFRAPR!L26</f>
        <v>43037951.204902574</v>
      </c>
      <c r="O26" s="105">
        <v>10315886</v>
      </c>
      <c r="P26" s="105">
        <v>1322862</v>
      </c>
      <c r="Q26" s="107">
        <v>0</v>
      </c>
      <c r="R26" s="105">
        <v>301850</v>
      </c>
      <c r="S26" s="111">
        <f t="shared" si="1"/>
        <v>54978549.204902574</v>
      </c>
      <c r="T26" s="111">
        <f t="shared" si="2"/>
        <v>60085866.795097426</v>
      </c>
      <c r="U26" s="151">
        <f>_xlfn.XLOOKUP(B26,FY26_FE_Data_April15[ID],FY26_FE_Data_April15[FY25 ADM - K-12 + SC],0,0)</f>
        <v>4054.8666666666663</v>
      </c>
      <c r="V26" s="112">
        <f t="shared" si="3"/>
        <v>14818.210248203171</v>
      </c>
      <c r="W26" s="113">
        <f t="shared" si="4"/>
        <v>7409.11</v>
      </c>
      <c r="Y26" s="114"/>
      <c r="Z26" s="115"/>
      <c r="AA26" s="116"/>
    </row>
    <row r="27" spans="1:27" ht="18">
      <c r="A27" s="102" t="s">
        <v>174</v>
      </c>
      <c r="B27" s="103">
        <v>23</v>
      </c>
      <c r="C27" s="80" t="s">
        <v>65</v>
      </c>
      <c r="D27" s="104">
        <v>7786590.4500000002</v>
      </c>
      <c r="E27" s="105">
        <v>1642125.92</v>
      </c>
      <c r="F27" s="106">
        <v>84028.5</v>
      </c>
      <c r="G27" s="106">
        <v>0</v>
      </c>
      <c r="H27" s="107">
        <v>0</v>
      </c>
      <c r="I27" s="106">
        <v>1556597.42</v>
      </c>
      <c r="J27" s="106">
        <v>0</v>
      </c>
      <c r="K27" s="108">
        <f t="shared" si="0"/>
        <v>7872118.9500000011</v>
      </c>
      <c r="L27" s="107">
        <v>692375.99</v>
      </c>
      <c r="M27" s="109">
        <f>VALTAX26!D32+VALTAX26!E32+VALTAX26!H32</f>
        <v>3.3790000000000001E-3</v>
      </c>
      <c r="N27" s="110">
        <f>(VALTAX26!D32/AFRAPR!M27)*AFRAPR!L27</f>
        <v>282564.80917727138</v>
      </c>
      <c r="O27" s="105">
        <v>7457596.8499999996</v>
      </c>
      <c r="P27" s="105">
        <v>377234.44</v>
      </c>
      <c r="Q27" s="107">
        <v>247853.06</v>
      </c>
      <c r="R27" s="105">
        <v>75567.600000000006</v>
      </c>
      <c r="S27" s="111">
        <f t="shared" si="1"/>
        <v>8440816.7591772713</v>
      </c>
      <c r="T27" s="111">
        <f t="shared" si="2"/>
        <v>-568697.80917727016</v>
      </c>
      <c r="U27" s="151">
        <f>_xlfn.XLOOKUP(B27,FY26_FE_Data_April15[ID],FY26_FE_Data_April15[FY25 ADM - K-12 + SC],0,0)</f>
        <v>428.82777777777778</v>
      </c>
      <c r="V27" s="112">
        <f t="shared" si="3"/>
        <v>-1326.1683096284266</v>
      </c>
      <c r="W27" s="113">
        <f t="shared" si="4"/>
        <v>0</v>
      </c>
      <c r="Y27" s="114"/>
      <c r="Z27" s="115"/>
      <c r="AA27" s="116"/>
    </row>
    <row r="28" spans="1:27" ht="18">
      <c r="A28" s="102" t="s">
        <v>175</v>
      </c>
      <c r="B28" s="103">
        <v>24</v>
      </c>
      <c r="C28" s="80" t="s">
        <v>66</v>
      </c>
      <c r="D28" s="104">
        <v>11596721.539999999</v>
      </c>
      <c r="E28" s="105">
        <v>6286021.5300000003</v>
      </c>
      <c r="F28" s="106">
        <v>0</v>
      </c>
      <c r="G28" s="106">
        <v>0</v>
      </c>
      <c r="H28" s="107">
        <v>0</v>
      </c>
      <c r="I28" s="106">
        <v>0</v>
      </c>
      <c r="J28" s="106">
        <v>6078296.5300000003</v>
      </c>
      <c r="K28" s="108">
        <f t="shared" si="0"/>
        <v>11804446.539999999</v>
      </c>
      <c r="L28" s="107">
        <v>8272131.3600000003</v>
      </c>
      <c r="M28" s="109">
        <f>VALTAX26!D33+VALTAX26!E33+VALTAX26!H33</f>
        <v>2.6879999999999999E-3</v>
      </c>
      <c r="N28" s="110">
        <f>(VALTAX26!D33/AFRAPR!M28)*AFRAPR!L28</f>
        <v>4243775.7237500008</v>
      </c>
      <c r="O28" s="105">
        <v>4404293.91</v>
      </c>
      <c r="P28" s="105">
        <v>443460.55</v>
      </c>
      <c r="Q28" s="107">
        <v>50000</v>
      </c>
      <c r="R28" s="105">
        <v>0</v>
      </c>
      <c r="S28" s="111">
        <f t="shared" si="1"/>
        <v>9141530.1837500017</v>
      </c>
      <c r="T28" s="111">
        <f t="shared" si="2"/>
        <v>2662916.3562499974</v>
      </c>
      <c r="U28" s="151">
        <f>_xlfn.XLOOKUP(B28,FY26_FE_Data_April15[ID],FY26_FE_Data_April15[FY25 ADM - K-12 + SC],0,0)</f>
        <v>488.93333333333334</v>
      </c>
      <c r="V28" s="112">
        <f t="shared" si="3"/>
        <v>5446.3792396713879</v>
      </c>
      <c r="W28" s="113">
        <f t="shared" si="4"/>
        <v>2723.19</v>
      </c>
      <c r="Y28" s="114"/>
      <c r="Z28" s="115"/>
      <c r="AA28" s="116"/>
    </row>
    <row r="29" spans="1:27" ht="18">
      <c r="A29" s="102" t="s">
        <v>176</v>
      </c>
      <c r="B29" s="103">
        <v>25</v>
      </c>
      <c r="C29" s="80" t="s">
        <v>67</v>
      </c>
      <c r="D29" s="104">
        <v>55857673.689999998</v>
      </c>
      <c r="E29" s="105">
        <v>27425359.609999999</v>
      </c>
      <c r="F29" s="106">
        <v>0</v>
      </c>
      <c r="G29" s="106">
        <v>0</v>
      </c>
      <c r="H29" s="107">
        <v>281702.14</v>
      </c>
      <c r="I29" s="106">
        <v>0</v>
      </c>
      <c r="J29" s="106">
        <v>24725638.940000001</v>
      </c>
      <c r="K29" s="108">
        <f t="shared" si="0"/>
        <v>58275692.219999999</v>
      </c>
      <c r="L29" s="107">
        <v>3920083.77</v>
      </c>
      <c r="M29" s="109">
        <f>VALTAX26!D34+VALTAX26!E34+VALTAX26!H34</f>
        <v>3.3790000000000001E-3</v>
      </c>
      <c r="N29" s="110">
        <f>(VALTAX26!D34/AFRAPR!M29)*AFRAPR!L29</f>
        <v>1599821.1064900858</v>
      </c>
      <c r="O29" s="105">
        <v>40890561.880000003</v>
      </c>
      <c r="P29" s="105">
        <v>12501881.130000001</v>
      </c>
      <c r="Q29" s="107">
        <v>22294277.300000001</v>
      </c>
      <c r="R29" s="105">
        <v>3749002.49</v>
      </c>
      <c r="S29" s="111">
        <f t="shared" si="1"/>
        <v>81035543.906490088</v>
      </c>
      <c r="T29" s="111">
        <f t="shared" si="2"/>
        <v>-22759851.686490089</v>
      </c>
      <c r="U29" s="151">
        <f>_xlfn.XLOOKUP(B29,FY26_FE_Data_April15[ID],FY26_FE_Data_April15[FY25 ADM - K-12 + SC],0,0)</f>
        <v>2734.9277777777779</v>
      </c>
      <c r="V29" s="112">
        <f t="shared" si="3"/>
        <v>-8321.9205535962064</v>
      </c>
      <c r="W29" s="113">
        <f t="shared" si="4"/>
        <v>0</v>
      </c>
      <c r="Y29" s="114"/>
      <c r="Z29" s="115"/>
      <c r="AA29" s="116"/>
    </row>
    <row r="30" spans="1:27" ht="18">
      <c r="A30" s="102" t="s">
        <v>177</v>
      </c>
      <c r="B30" s="103">
        <v>26</v>
      </c>
      <c r="C30" s="80" t="s">
        <v>68</v>
      </c>
      <c r="D30" s="104">
        <v>53802341.530000001</v>
      </c>
      <c r="E30" s="105">
        <v>10770617.24</v>
      </c>
      <c r="F30" s="106">
        <v>350320</v>
      </c>
      <c r="G30" s="106">
        <v>0</v>
      </c>
      <c r="H30" s="107">
        <v>0</v>
      </c>
      <c r="I30" s="106">
        <v>0</v>
      </c>
      <c r="J30" s="106">
        <v>10368135.560000001</v>
      </c>
      <c r="K30" s="108">
        <f t="shared" si="0"/>
        <v>54204823.210000001</v>
      </c>
      <c r="L30" s="107">
        <v>10250382.359999999</v>
      </c>
      <c r="M30" s="109">
        <f>VALTAX26!D35+VALTAX26!E35+VALTAX26!H35</f>
        <v>3.3019999999999998E-3</v>
      </c>
      <c r="N30" s="110">
        <f>(VALTAX26!D35/AFRAPR!M30)*AFRAPR!L30</f>
        <v>4280822.9177589342</v>
      </c>
      <c r="O30" s="105">
        <v>42508786</v>
      </c>
      <c r="P30" s="105">
        <v>4256595.24</v>
      </c>
      <c r="Q30" s="107">
        <v>1761478.83</v>
      </c>
      <c r="R30" s="105">
        <v>327877.52</v>
      </c>
      <c r="S30" s="111">
        <f t="shared" si="1"/>
        <v>53135560.507758938</v>
      </c>
      <c r="T30" s="111">
        <f t="shared" si="2"/>
        <v>1069262.7022410631</v>
      </c>
      <c r="U30" s="151">
        <f>_xlfn.XLOOKUP(B30,FY26_FE_Data_April15[ID],FY26_FE_Data_April15[FY25 ADM - K-12 + SC],0,0)</f>
        <v>4383.4111111111115</v>
      </c>
      <c r="V30" s="112">
        <f t="shared" si="3"/>
        <v>243.93393070768244</v>
      </c>
      <c r="W30" s="113">
        <f t="shared" si="4"/>
        <v>121.97</v>
      </c>
      <c r="Y30" s="114"/>
      <c r="Z30" s="115"/>
      <c r="AA30" s="116"/>
    </row>
    <row r="31" spans="1:27" ht="18">
      <c r="A31" s="102" t="s">
        <v>178</v>
      </c>
      <c r="B31" s="103">
        <v>27</v>
      </c>
      <c r="C31" s="80" t="s">
        <v>69</v>
      </c>
      <c r="D31" s="104">
        <v>39554324.25</v>
      </c>
      <c r="E31" s="105">
        <v>3232446.03</v>
      </c>
      <c r="F31" s="106">
        <v>0</v>
      </c>
      <c r="G31" s="106">
        <v>0</v>
      </c>
      <c r="H31" s="107">
        <v>0</v>
      </c>
      <c r="I31" s="106">
        <v>10000</v>
      </c>
      <c r="J31" s="106">
        <v>505674.91</v>
      </c>
      <c r="K31" s="108">
        <f t="shared" si="0"/>
        <v>42271095.370000005</v>
      </c>
      <c r="L31" s="107">
        <v>5112969.0199999996</v>
      </c>
      <c r="M31" s="109">
        <f>VALTAX26!D36+VALTAX26!E36+VALTAX26!H36</f>
        <v>3.3370000000000001E-3</v>
      </c>
      <c r="N31" s="110">
        <f>(VALTAX26!D36/AFRAPR!M31)*AFRAPR!L31</f>
        <v>2112911.0813844767</v>
      </c>
      <c r="O31" s="105">
        <v>34444904.789999999</v>
      </c>
      <c r="P31" s="105">
        <v>2156998.52</v>
      </c>
      <c r="Q31" s="107">
        <v>6799074.6500000004</v>
      </c>
      <c r="R31" s="105">
        <v>0</v>
      </c>
      <c r="S31" s="111">
        <f t="shared" si="1"/>
        <v>45513889.041384481</v>
      </c>
      <c r="T31" s="111">
        <f t="shared" si="2"/>
        <v>-3242793.6713844761</v>
      </c>
      <c r="U31" s="151">
        <f>_xlfn.XLOOKUP(B31,FY26_FE_Data_April15[ID],FY26_FE_Data_April15[FY25 ADM - K-12 + SC],0,0)</f>
        <v>3108.6388888888887</v>
      </c>
      <c r="V31" s="112">
        <f t="shared" si="3"/>
        <v>-1043.1554732764532</v>
      </c>
      <c r="W31" s="113">
        <f t="shared" si="4"/>
        <v>0</v>
      </c>
      <c r="Y31" s="114"/>
      <c r="Z31" s="115"/>
      <c r="AA31" s="116"/>
    </row>
    <row r="32" spans="1:27" ht="18">
      <c r="A32" s="102" t="s">
        <v>179</v>
      </c>
      <c r="B32" s="103">
        <v>28</v>
      </c>
      <c r="C32" s="80" t="s">
        <v>70</v>
      </c>
      <c r="D32" s="104">
        <v>27305903.399999999</v>
      </c>
      <c r="E32" s="105">
        <v>5399198.5599999996</v>
      </c>
      <c r="F32" s="106">
        <v>0</v>
      </c>
      <c r="G32" s="106">
        <v>0</v>
      </c>
      <c r="H32" s="107">
        <v>0</v>
      </c>
      <c r="I32" s="106">
        <v>48794.34</v>
      </c>
      <c r="J32" s="106">
        <v>4874925.0199999996</v>
      </c>
      <c r="K32" s="108">
        <f t="shared" si="0"/>
        <v>27781382.599999998</v>
      </c>
      <c r="L32" s="107">
        <v>20634958.440000001</v>
      </c>
      <c r="M32" s="109">
        <f>VALTAX26!D37+VALTAX26!E37+VALTAX26!H37</f>
        <v>2.918E-3</v>
      </c>
      <c r="N32" s="110">
        <f>(VALTAX26!D37/AFRAPR!M32)*AFRAPR!L32</f>
        <v>9751750.4073886238</v>
      </c>
      <c r="O32" s="105">
        <v>6236345.6399999997</v>
      </c>
      <c r="P32" s="105">
        <v>498188.29</v>
      </c>
      <c r="Q32" s="107">
        <v>131416.6</v>
      </c>
      <c r="R32" s="105">
        <v>0</v>
      </c>
      <c r="S32" s="111">
        <f t="shared" si="1"/>
        <v>16617700.937388623</v>
      </c>
      <c r="T32" s="111">
        <f t="shared" si="2"/>
        <v>11163681.662611375</v>
      </c>
      <c r="U32" s="151">
        <f>_xlfn.XLOOKUP(B32,FY26_FE_Data_April15[ID],FY26_FE_Data_April15[FY25 ADM - K-12 + SC],0,0)</f>
        <v>1571.0944444444442</v>
      </c>
      <c r="V32" s="112">
        <f t="shared" si="3"/>
        <v>7105.6719104871963</v>
      </c>
      <c r="W32" s="113">
        <f t="shared" si="4"/>
        <v>3552.84</v>
      </c>
      <c r="Y32" s="114"/>
      <c r="Z32" s="115"/>
      <c r="AA32" s="116"/>
    </row>
    <row r="33" spans="1:27" ht="18">
      <c r="A33" s="102" t="s">
        <v>180</v>
      </c>
      <c r="B33" s="103">
        <v>29</v>
      </c>
      <c r="C33" s="80" t="s">
        <v>71</v>
      </c>
      <c r="D33" s="104">
        <v>7028973.0800000001</v>
      </c>
      <c r="E33" s="105">
        <v>0</v>
      </c>
      <c r="F33" s="106">
        <v>0</v>
      </c>
      <c r="G33" s="106">
        <v>0</v>
      </c>
      <c r="H33" s="107">
        <v>0</v>
      </c>
      <c r="I33" s="106">
        <v>0</v>
      </c>
      <c r="J33" s="106">
        <v>0</v>
      </c>
      <c r="K33" s="108">
        <f t="shared" si="0"/>
        <v>7028973.0800000001</v>
      </c>
      <c r="L33" s="107">
        <v>806434.12</v>
      </c>
      <c r="M33" s="109">
        <f>VALTAX26!D38+VALTAX26!E38+VALTAX26!H38</f>
        <v>3.578E-3</v>
      </c>
      <c r="N33" s="110">
        <f>(VALTAX26!D38/AFRAPR!M33)*AFRAPR!L33</f>
        <v>310808.45485746226</v>
      </c>
      <c r="O33" s="105">
        <v>6315999.2300000004</v>
      </c>
      <c r="P33" s="105">
        <v>15221.55</v>
      </c>
      <c r="Q33" s="107">
        <v>216748.57</v>
      </c>
      <c r="R33" s="105">
        <v>0</v>
      </c>
      <c r="S33" s="111">
        <f t="shared" si="1"/>
        <v>6858777.8048574626</v>
      </c>
      <c r="T33" s="111">
        <f t="shared" si="2"/>
        <v>170195.27514253743</v>
      </c>
      <c r="U33" s="151">
        <f>_xlfn.XLOOKUP(B33,FY26_FE_Data_April15[ID],FY26_FE_Data_April15[FY25 ADM - K-12 + SC],0,0)</f>
        <v>260.28888888888883</v>
      </c>
      <c r="V33" s="112">
        <f t="shared" si="3"/>
        <v>653.87068909879497</v>
      </c>
      <c r="W33" s="113">
        <f t="shared" si="4"/>
        <v>326.94</v>
      </c>
      <c r="Y33" s="114"/>
      <c r="Z33" s="115"/>
      <c r="AA33" s="116"/>
    </row>
    <row r="34" spans="1:27" ht="18">
      <c r="A34" s="102" t="s">
        <v>181</v>
      </c>
      <c r="B34" s="103">
        <v>30</v>
      </c>
      <c r="C34" s="80" t="s">
        <v>72</v>
      </c>
      <c r="D34" s="104">
        <v>188692998.19</v>
      </c>
      <c r="E34" s="105">
        <v>69070525.959999993</v>
      </c>
      <c r="F34" s="106">
        <v>2775130.64</v>
      </c>
      <c r="G34" s="106">
        <v>2602995.9700000002</v>
      </c>
      <c r="H34" s="107">
        <v>224322.79</v>
      </c>
      <c r="I34" s="106">
        <v>2117988.67</v>
      </c>
      <c r="J34" s="106">
        <v>51594210.909999996</v>
      </c>
      <c r="K34" s="108">
        <f t="shared" si="0"/>
        <v>203827001.78</v>
      </c>
      <c r="L34" s="107">
        <v>49755292.68</v>
      </c>
      <c r="M34" s="109">
        <f>VALTAX26!D39+VALTAX26!E39+VALTAX26!H39</f>
        <v>5.3709999999999999E-3</v>
      </c>
      <c r="N34" s="110">
        <f>(VALTAX26!D39/AFRAPR!M34)*AFRAPR!L34</f>
        <v>12774632.024896668</v>
      </c>
      <c r="O34" s="105">
        <v>130491638.89</v>
      </c>
      <c r="P34" s="105">
        <v>7474635.2599999998</v>
      </c>
      <c r="Q34" s="107">
        <v>6483819.0599999996</v>
      </c>
      <c r="R34" s="105">
        <v>299573.03000000003</v>
      </c>
      <c r="S34" s="111">
        <f t="shared" si="1"/>
        <v>157524298.26489666</v>
      </c>
      <c r="T34" s="111">
        <f t="shared" si="2"/>
        <v>46302703.51510334</v>
      </c>
      <c r="U34" s="151">
        <f>_xlfn.XLOOKUP(B34,FY26_FE_Data_April15[ID],FY26_FE_Data_April15[FY25 ADM - K-12 + SC],0,0)</f>
        <v>15462.733333333334</v>
      </c>
      <c r="V34" s="112">
        <f t="shared" si="3"/>
        <v>2994.4708038964654</v>
      </c>
      <c r="W34" s="113">
        <f t="shared" si="4"/>
        <v>1497.24</v>
      </c>
      <c r="Y34" s="114"/>
      <c r="Z34" s="115"/>
      <c r="AA34" s="116"/>
    </row>
    <row r="35" spans="1:27" ht="18">
      <c r="A35" s="102" t="s">
        <v>182</v>
      </c>
      <c r="B35" s="103">
        <v>31</v>
      </c>
      <c r="C35" s="80" t="s">
        <v>108</v>
      </c>
      <c r="D35" s="104">
        <v>81747660.450000003</v>
      </c>
      <c r="E35" s="105">
        <v>22041490.73</v>
      </c>
      <c r="F35" s="106">
        <v>13797</v>
      </c>
      <c r="G35" s="106">
        <v>9181</v>
      </c>
      <c r="H35" s="107">
        <v>1203683</v>
      </c>
      <c r="I35" s="106">
        <v>0</v>
      </c>
      <c r="J35" s="106">
        <v>16840849.27</v>
      </c>
      <c r="K35" s="108">
        <f t="shared" si="0"/>
        <v>85744618.910000011</v>
      </c>
      <c r="L35" s="107">
        <v>20921643.140000001</v>
      </c>
      <c r="M35" s="109">
        <f>VALTAX26!D40+VALTAX26!E40+VALTAX26!H40</f>
        <v>3.3890000000000001E-3</v>
      </c>
      <c r="N35" s="110">
        <f>(VALTAX26!D40/AFRAPR!M35)*AFRAPR!L35</f>
        <v>8513114.7506816164</v>
      </c>
      <c r="O35" s="105">
        <v>50316944.619999997</v>
      </c>
      <c r="P35" s="105">
        <v>7572600.0099999998</v>
      </c>
      <c r="Q35" s="107">
        <v>209432.6</v>
      </c>
      <c r="R35" s="105">
        <v>0</v>
      </c>
      <c r="S35" s="111">
        <f t="shared" si="1"/>
        <v>66612091.980681613</v>
      </c>
      <c r="T35" s="111">
        <f t="shared" si="2"/>
        <v>19132526.929318398</v>
      </c>
      <c r="U35" s="151">
        <f>_xlfn.XLOOKUP(B35,FY26_FE_Data_April15[ID],FY26_FE_Data_April15[FY25 ADM - K-12 + SC],0,0)</f>
        <v>6268.9833333333327</v>
      </c>
      <c r="V35" s="112">
        <f t="shared" si="3"/>
        <v>3051.9345661021698</v>
      </c>
      <c r="W35" s="113">
        <f t="shared" si="4"/>
        <v>1525.97</v>
      </c>
      <c r="Y35" s="114"/>
      <c r="Z35" s="115"/>
      <c r="AA35" s="116"/>
    </row>
    <row r="36" spans="1:27" ht="18">
      <c r="A36" s="102" t="s">
        <v>183</v>
      </c>
      <c r="B36" s="103">
        <v>32</v>
      </c>
      <c r="C36" s="80" t="s">
        <v>73</v>
      </c>
      <c r="D36" s="104">
        <v>111822529</v>
      </c>
      <c r="E36" s="105">
        <v>69399463</v>
      </c>
      <c r="F36" s="106">
        <v>8008178</v>
      </c>
      <c r="G36" s="106">
        <v>7576895</v>
      </c>
      <c r="H36" s="107">
        <v>1691594</v>
      </c>
      <c r="I36" s="106">
        <v>48835156</v>
      </c>
      <c r="J36" s="106">
        <v>0</v>
      </c>
      <c r="K36" s="108">
        <f t="shared" si="0"/>
        <v>130695242</v>
      </c>
      <c r="L36" s="107">
        <v>76184772</v>
      </c>
      <c r="M36" s="109">
        <f>VALTAX26!D41+VALTAX26!E41+VALTAX26!H41</f>
        <v>4.1120000000000002E-3</v>
      </c>
      <c r="N36" s="110">
        <f>(VALTAX26!D41/AFRAPR!M36)*AFRAPR!L36</f>
        <v>25549319.209143966</v>
      </c>
      <c r="O36" s="105">
        <v>40003963</v>
      </c>
      <c r="P36" s="105">
        <v>3588721</v>
      </c>
      <c r="Q36" s="107">
        <v>0</v>
      </c>
      <c r="R36" s="105">
        <v>0</v>
      </c>
      <c r="S36" s="111">
        <f t="shared" si="1"/>
        <v>69142003.209143966</v>
      </c>
      <c r="T36" s="111">
        <f t="shared" si="2"/>
        <v>61553238.790856034</v>
      </c>
      <c r="U36" s="151">
        <f>_xlfn.XLOOKUP(B36,FY26_FE_Data_April15[ID],FY26_FE_Data_April15[FY25 ADM - K-12 + SC],0,0)</f>
        <v>8432.9333333333343</v>
      </c>
      <c r="V36" s="112">
        <f t="shared" si="3"/>
        <v>7299.1492233848276</v>
      </c>
      <c r="W36" s="113">
        <f t="shared" si="4"/>
        <v>3649.57</v>
      </c>
      <c r="Y36" s="114"/>
      <c r="Z36" s="115"/>
      <c r="AA36" s="116"/>
    </row>
    <row r="37" spans="1:27" ht="18">
      <c r="A37" s="102" t="s">
        <v>184</v>
      </c>
      <c r="B37" s="103">
        <v>33</v>
      </c>
      <c r="C37" s="80" t="s">
        <v>74</v>
      </c>
      <c r="D37" s="104">
        <v>359939845.12</v>
      </c>
      <c r="E37" s="105">
        <v>75138451.420000002</v>
      </c>
      <c r="F37" s="106">
        <v>6370311.0300000003</v>
      </c>
      <c r="G37" s="106">
        <v>19435000</v>
      </c>
      <c r="H37" s="107">
        <v>3014131.57</v>
      </c>
      <c r="I37" s="106">
        <v>36332159.18</v>
      </c>
      <c r="J37" s="106">
        <v>0</v>
      </c>
      <c r="K37" s="108">
        <f t="shared" si="0"/>
        <v>395732005.79000002</v>
      </c>
      <c r="L37" s="107">
        <v>115476313.19</v>
      </c>
      <c r="M37" s="109">
        <f>VALTAX26!D42+VALTAX26!E42+VALTAX26!H42</f>
        <v>2.6710000000000002E-3</v>
      </c>
      <c r="N37" s="110">
        <f>(VALTAX26!D42/AFRAPR!M37)*AFRAPR!L37</f>
        <v>59618807.895548485</v>
      </c>
      <c r="O37" s="105">
        <v>236479989.94999999</v>
      </c>
      <c r="P37" s="105">
        <v>17176323.309999999</v>
      </c>
      <c r="Q37" s="107">
        <v>1751726.16</v>
      </c>
      <c r="R37" s="105">
        <v>0</v>
      </c>
      <c r="S37" s="111">
        <f t="shared" si="1"/>
        <v>315026847.31554848</v>
      </c>
      <c r="T37" s="111">
        <f t="shared" si="2"/>
        <v>80705158.474451542</v>
      </c>
      <c r="U37" s="151">
        <f>_xlfn.XLOOKUP(B37,FY26_FE_Data_April15[ID],FY26_FE_Data_April15[FY25 ADM - K-12 + SC],0,0)</f>
        <v>33870.816666666666</v>
      </c>
      <c r="V37" s="112">
        <f t="shared" si="3"/>
        <v>2382.7343541402124</v>
      </c>
      <c r="W37" s="113">
        <f t="shared" si="4"/>
        <v>1191.3699999999999</v>
      </c>
      <c r="Y37" s="114"/>
      <c r="Z37" s="115"/>
      <c r="AA37" s="116"/>
    </row>
    <row r="38" spans="1:27" ht="18">
      <c r="A38" s="102" t="s">
        <v>185</v>
      </c>
      <c r="B38" s="103">
        <v>34</v>
      </c>
      <c r="C38" s="80" t="s">
        <v>75</v>
      </c>
      <c r="D38" s="104">
        <v>8155920.7400000002</v>
      </c>
      <c r="E38" s="105">
        <v>12382411.359999999</v>
      </c>
      <c r="F38" s="106">
        <v>410750.01</v>
      </c>
      <c r="G38" s="106">
        <v>412000.17</v>
      </c>
      <c r="H38" s="107">
        <v>0</v>
      </c>
      <c r="I38" s="106">
        <v>11400870.960000001</v>
      </c>
      <c r="J38" s="106">
        <v>0</v>
      </c>
      <c r="K38" s="108">
        <f t="shared" si="0"/>
        <v>9137461.1400000006</v>
      </c>
      <c r="L38" s="107">
        <v>1756511.01</v>
      </c>
      <c r="M38" s="109">
        <f>VALTAX26!D43+VALTAX26!E43+VALTAX26!H43</f>
        <v>3.3790000000000001E-3</v>
      </c>
      <c r="N38" s="110">
        <f>(VALTAX26!D43/AFRAPR!M38)*AFRAPR!L38</f>
        <v>716847.79011245933</v>
      </c>
      <c r="O38" s="105">
        <v>6434354.4400000004</v>
      </c>
      <c r="P38" s="105">
        <v>462736.17</v>
      </c>
      <c r="Q38" s="107">
        <v>11539904</v>
      </c>
      <c r="R38" s="105">
        <v>0</v>
      </c>
      <c r="S38" s="111">
        <f t="shared" si="1"/>
        <v>19153842.400112458</v>
      </c>
      <c r="T38" s="111">
        <f t="shared" si="2"/>
        <v>-10016381.260112457</v>
      </c>
      <c r="U38" s="151">
        <f>_xlfn.XLOOKUP(B38,FY26_FE_Data_April15[ID],FY26_FE_Data_April15[FY25 ADM - K-12 + SC],0,0)</f>
        <v>407.22777777777776</v>
      </c>
      <c r="V38" s="112">
        <f t="shared" si="3"/>
        <v>-24596.507916948503</v>
      </c>
      <c r="W38" s="113">
        <f t="shared" si="4"/>
        <v>0</v>
      </c>
      <c r="Y38" s="114"/>
      <c r="Z38" s="115"/>
      <c r="AA38" s="116"/>
    </row>
    <row r="39" spans="1:27" ht="18">
      <c r="A39" s="102" t="s">
        <v>186</v>
      </c>
      <c r="B39" s="103">
        <v>35</v>
      </c>
      <c r="C39" s="80" t="s">
        <v>76</v>
      </c>
      <c r="D39" s="104">
        <v>355017622</v>
      </c>
      <c r="E39" s="105">
        <v>100920136</v>
      </c>
      <c r="F39" s="106">
        <v>1752361</v>
      </c>
      <c r="G39" s="106">
        <v>3596462</v>
      </c>
      <c r="H39" s="107">
        <v>1688097</v>
      </c>
      <c r="I39" s="106">
        <v>72019986</v>
      </c>
      <c r="J39" s="106">
        <v>0</v>
      </c>
      <c r="K39" s="108">
        <f t="shared" si="0"/>
        <v>382229675</v>
      </c>
      <c r="L39" s="107">
        <v>70393994</v>
      </c>
      <c r="M39" s="109">
        <f>VALTAX26!D44+VALTAX26!E44+VALTAX26!H44</f>
        <v>3.1229999999999999E-3</v>
      </c>
      <c r="N39" s="110">
        <f>(VALTAX26!D44/AFRAPR!M39)*AFRAPR!L39</f>
        <v>31083355.019532502</v>
      </c>
      <c r="O39" s="105">
        <v>245904661</v>
      </c>
      <c r="P39" s="105">
        <v>13312108</v>
      </c>
      <c r="Q39" s="107">
        <v>6450</v>
      </c>
      <c r="R39" s="105">
        <v>0</v>
      </c>
      <c r="S39" s="111">
        <f t="shared" si="1"/>
        <v>290306574.0195325</v>
      </c>
      <c r="T39" s="111">
        <f t="shared" si="2"/>
        <v>91923100.980467498</v>
      </c>
      <c r="U39" s="151">
        <f>_xlfn.XLOOKUP(B39,FY26_FE_Data_April15[ID],FY26_FE_Data_April15[FY25 ADM - K-12 + SC],0,0)</f>
        <v>31602.611111111109</v>
      </c>
      <c r="V39" s="112">
        <f t="shared" si="3"/>
        <v>2908.7185440872768</v>
      </c>
      <c r="W39" s="113">
        <f t="shared" si="4"/>
        <v>1454.36</v>
      </c>
      <c r="Y39" s="114"/>
      <c r="Z39" s="115"/>
      <c r="AA39" s="116"/>
    </row>
    <row r="40" spans="1:27" ht="18">
      <c r="A40" s="102" t="s">
        <v>187</v>
      </c>
      <c r="B40" s="103">
        <v>36</v>
      </c>
      <c r="C40" s="80" t="s">
        <v>77</v>
      </c>
      <c r="D40" s="104">
        <v>291339986.25999999</v>
      </c>
      <c r="E40" s="105">
        <v>43092035.859999999</v>
      </c>
      <c r="F40" s="106">
        <v>582056.53</v>
      </c>
      <c r="G40" s="106">
        <v>2169467.44</v>
      </c>
      <c r="H40" s="107">
        <v>0</v>
      </c>
      <c r="I40" s="106">
        <v>0</v>
      </c>
      <c r="J40" s="106">
        <v>31309737.77</v>
      </c>
      <c r="K40" s="108">
        <f t="shared" si="0"/>
        <v>303122284.35000002</v>
      </c>
      <c r="L40" s="107">
        <v>151085148.63999999</v>
      </c>
      <c r="M40" s="109">
        <f>VALTAX26!D45+VALTAX26!E45+VALTAX26!H45</f>
        <v>2.977E-3</v>
      </c>
      <c r="N40" s="110">
        <f>(VALTAX26!D45/AFRAPR!M40)*AFRAPR!L40</f>
        <v>69985361.093234792</v>
      </c>
      <c r="O40" s="105">
        <v>96348035.329999998</v>
      </c>
      <c r="P40" s="105">
        <v>23535013.190000001</v>
      </c>
      <c r="Q40" s="107">
        <v>0</v>
      </c>
      <c r="R40" s="105">
        <v>395547.98</v>
      </c>
      <c r="S40" s="111">
        <f t="shared" si="1"/>
        <v>190263957.59323478</v>
      </c>
      <c r="T40" s="111">
        <f t="shared" si="2"/>
        <v>112858326.75676525</v>
      </c>
      <c r="U40" s="151">
        <f>_xlfn.XLOOKUP(B40,FY26_FE_Data_April15[ID],FY26_FE_Data_April15[FY25 ADM - K-12 + SC],0,0)</f>
        <v>18220.449999999997</v>
      </c>
      <c r="V40" s="112">
        <f t="shared" si="3"/>
        <v>6194.047169897849</v>
      </c>
      <c r="W40" s="113">
        <f t="shared" si="4"/>
        <v>3097.02</v>
      </c>
      <c r="Y40" s="114"/>
      <c r="Z40" s="115"/>
      <c r="AA40" s="116"/>
    </row>
    <row r="41" spans="1:27" ht="18">
      <c r="A41" s="102" t="s">
        <v>188</v>
      </c>
      <c r="B41" s="103">
        <v>37</v>
      </c>
      <c r="C41" s="80" t="s">
        <v>78</v>
      </c>
      <c r="D41" s="104">
        <v>129360454</v>
      </c>
      <c r="E41" s="105">
        <v>46444735.460000001</v>
      </c>
      <c r="F41" s="106">
        <v>5171237.46</v>
      </c>
      <c r="G41" s="106">
        <v>7138578.8799999999</v>
      </c>
      <c r="H41" s="107">
        <v>0</v>
      </c>
      <c r="I41" s="106">
        <v>0</v>
      </c>
      <c r="J41" s="106">
        <v>29081693.399999999</v>
      </c>
      <c r="K41" s="108">
        <f t="shared" si="0"/>
        <v>146723496.06</v>
      </c>
      <c r="L41" s="107">
        <v>41140108.420000002</v>
      </c>
      <c r="M41" s="109">
        <f>VALTAX26!D46+VALTAX26!E46+VALTAX26!H46</f>
        <v>3.9509999999999997E-3</v>
      </c>
      <c r="N41" s="110">
        <f>(VALTAX26!D46/AFRAPR!M41)*AFRAPR!L41</f>
        <v>14358949.509283729</v>
      </c>
      <c r="O41" s="105">
        <v>73802872.900000006</v>
      </c>
      <c r="P41" s="105">
        <v>10584144.359999999</v>
      </c>
      <c r="Q41" s="107">
        <v>34050</v>
      </c>
      <c r="R41" s="105">
        <v>776863.51</v>
      </c>
      <c r="S41" s="111">
        <f t="shared" si="1"/>
        <v>99556880.279283732</v>
      </c>
      <c r="T41" s="111">
        <f t="shared" si="2"/>
        <v>47166615.78071627</v>
      </c>
      <c r="U41" s="151">
        <f>_xlfn.XLOOKUP(B41,FY26_FE_Data_April15[ID],FY26_FE_Data_April15[FY25 ADM - K-12 + SC],0,0)</f>
        <v>9935.4722222222226</v>
      </c>
      <c r="V41" s="112">
        <f t="shared" si="3"/>
        <v>4747.2948165685402</v>
      </c>
      <c r="W41" s="113">
        <f t="shared" si="4"/>
        <v>2373.65</v>
      </c>
      <c r="Y41" s="114"/>
      <c r="Z41" s="115"/>
      <c r="AA41" s="116"/>
    </row>
    <row r="42" spans="1:27" ht="18">
      <c r="A42" s="102" t="s">
        <v>189</v>
      </c>
      <c r="B42" s="103">
        <v>38</v>
      </c>
      <c r="C42" s="80" t="s">
        <v>79</v>
      </c>
      <c r="D42" s="104">
        <v>162353198.56999999</v>
      </c>
      <c r="E42" s="105">
        <v>57346054.579999998</v>
      </c>
      <c r="F42" s="106">
        <v>3832937.32</v>
      </c>
      <c r="G42" s="106">
        <v>3478202.21</v>
      </c>
      <c r="H42" s="107">
        <v>0</v>
      </c>
      <c r="I42" s="106">
        <v>19835.36</v>
      </c>
      <c r="J42" s="106">
        <v>37601981.539999999</v>
      </c>
      <c r="K42" s="108">
        <f t="shared" si="0"/>
        <v>182077436.24999997</v>
      </c>
      <c r="L42" s="107">
        <v>50546204.719999999</v>
      </c>
      <c r="M42" s="109">
        <f>VALTAX26!D47+VALTAX26!E47+VALTAX26!H47</f>
        <v>4.2629999999999994E-3</v>
      </c>
      <c r="N42" s="110">
        <f>(VALTAX26!D47/AFRAPR!M42)*AFRAPR!L42</f>
        <v>16350742.741937604</v>
      </c>
      <c r="O42" s="105">
        <v>97621612.680000007</v>
      </c>
      <c r="P42" s="105">
        <v>8850938.8800000008</v>
      </c>
      <c r="Q42" s="107">
        <v>71095.98</v>
      </c>
      <c r="R42" s="105">
        <v>0</v>
      </c>
      <c r="S42" s="111">
        <f t="shared" si="1"/>
        <v>122894390.28193761</v>
      </c>
      <c r="T42" s="111">
        <f t="shared" si="2"/>
        <v>59183045.968062356</v>
      </c>
      <c r="U42" s="151">
        <f>_xlfn.XLOOKUP(B42,FY26_FE_Data_April15[ID],FY26_FE_Data_April15[FY25 ADM - K-12 + SC],0,0)</f>
        <v>13323.344444444445</v>
      </c>
      <c r="V42" s="112">
        <f t="shared" si="3"/>
        <v>4442.0562881071837</v>
      </c>
      <c r="W42" s="113">
        <f t="shared" si="4"/>
        <v>2221.0300000000002</v>
      </c>
      <c r="Y42" s="114"/>
      <c r="Z42" s="115"/>
      <c r="AA42" s="116"/>
    </row>
    <row r="43" spans="1:27" ht="18">
      <c r="A43" s="102" t="s">
        <v>190</v>
      </c>
      <c r="B43" s="103">
        <v>39</v>
      </c>
      <c r="C43" s="80" t="s">
        <v>80</v>
      </c>
      <c r="D43" s="104">
        <v>65912674.32</v>
      </c>
      <c r="E43" s="105">
        <v>4917689.51</v>
      </c>
      <c r="F43" s="106">
        <v>106367.8</v>
      </c>
      <c r="G43" s="106">
        <v>792390.97</v>
      </c>
      <c r="H43" s="107">
        <v>102964.13</v>
      </c>
      <c r="I43" s="106">
        <v>794597.84</v>
      </c>
      <c r="J43" s="106">
        <v>554867.84</v>
      </c>
      <c r="K43" s="108">
        <f t="shared" si="0"/>
        <v>69377934.019999996</v>
      </c>
      <c r="L43" s="107">
        <v>21440111.649999999</v>
      </c>
      <c r="M43" s="109">
        <f>VALTAX26!D48+VALTAX26!E48+VALTAX26!H48</f>
        <v>3.4280000000000001E-3</v>
      </c>
      <c r="N43" s="110">
        <f>(VALTAX26!D48/AFRAPR!M43)*AFRAPR!L43</f>
        <v>8624829.0447345395</v>
      </c>
      <c r="O43" s="105">
        <v>38611186.219999999</v>
      </c>
      <c r="P43" s="105">
        <v>5149101.96</v>
      </c>
      <c r="Q43" s="107">
        <v>0</v>
      </c>
      <c r="R43" s="105">
        <v>0</v>
      </c>
      <c r="S43" s="111">
        <f t="shared" si="1"/>
        <v>52385117.224734537</v>
      </c>
      <c r="T43" s="111">
        <f t="shared" si="2"/>
        <v>16992816.795265459</v>
      </c>
      <c r="U43" s="151">
        <f>_xlfn.XLOOKUP(B43,FY26_FE_Data_April15[ID],FY26_FE_Data_April15[FY25 ADM - K-12 + SC],0,0)</f>
        <v>5011.5500000000011</v>
      </c>
      <c r="V43" s="112">
        <f t="shared" si="3"/>
        <v>3390.7307709721454</v>
      </c>
      <c r="W43" s="113">
        <f t="shared" si="4"/>
        <v>1695.37</v>
      </c>
      <c r="Y43" s="114"/>
      <c r="Z43" s="115"/>
      <c r="AA43" s="116"/>
    </row>
    <row r="44" spans="1:27" ht="18">
      <c r="A44" s="102" t="s">
        <v>191</v>
      </c>
      <c r="B44" s="103">
        <v>40</v>
      </c>
      <c r="C44" s="80" t="s">
        <v>81</v>
      </c>
      <c r="D44" s="104">
        <v>69072762</v>
      </c>
      <c r="E44" s="105">
        <v>13676610</v>
      </c>
      <c r="F44" s="106">
        <v>141328</v>
      </c>
      <c r="G44" s="106">
        <v>420000</v>
      </c>
      <c r="H44" s="107">
        <v>395869</v>
      </c>
      <c r="I44" s="106">
        <v>0</v>
      </c>
      <c r="J44" s="106">
        <v>2400</v>
      </c>
      <c r="K44" s="108">
        <f t="shared" si="0"/>
        <v>82351103</v>
      </c>
      <c r="L44" s="107">
        <v>26023852</v>
      </c>
      <c r="M44" s="109">
        <f>VALTAX26!D49+VALTAX26!E49+VALTAX26!H49</f>
        <v>3.4169999999999999E-3</v>
      </c>
      <c r="N44" s="110">
        <f>(VALTAX26!D49/AFRAPR!M44)*AFRAPR!L44</f>
        <v>10502455.928592334</v>
      </c>
      <c r="O44" s="105">
        <v>37826789</v>
      </c>
      <c r="P44" s="105">
        <v>3455831</v>
      </c>
      <c r="Q44" s="107">
        <v>0</v>
      </c>
      <c r="R44" s="105">
        <v>0</v>
      </c>
      <c r="S44" s="111">
        <f t="shared" si="1"/>
        <v>51785075.928592332</v>
      </c>
      <c r="T44" s="111">
        <f t="shared" si="2"/>
        <v>30566027.071407668</v>
      </c>
      <c r="U44" s="151">
        <f>_xlfn.XLOOKUP(B44,FY26_FE_Data_April15[ID],FY26_FE_Data_April15[FY25 ADM - K-12 + SC],0,0)</f>
        <v>5455.4722222222226</v>
      </c>
      <c r="V44" s="112">
        <f t="shared" si="3"/>
        <v>5602.8196691939083</v>
      </c>
      <c r="W44" s="113">
        <f t="shared" si="4"/>
        <v>2801.41</v>
      </c>
      <c r="Y44" s="114"/>
      <c r="Z44" s="115"/>
      <c r="AA44" s="116"/>
    </row>
    <row r="45" spans="1:27" ht="18">
      <c r="A45" s="117" t="s">
        <v>192</v>
      </c>
      <c r="B45" s="118">
        <v>42</v>
      </c>
      <c r="C45" s="119" t="s">
        <v>111</v>
      </c>
      <c r="D45" s="120">
        <v>392225231.06999999</v>
      </c>
      <c r="E45" s="121">
        <v>103727130.13</v>
      </c>
      <c r="F45" s="122">
        <v>5612478.6900000004</v>
      </c>
      <c r="G45" s="122">
        <v>3525663.82</v>
      </c>
      <c r="H45" s="123">
        <v>59517568.359999999</v>
      </c>
      <c r="I45" s="122">
        <v>10178409.789999999</v>
      </c>
      <c r="J45" s="122">
        <v>14865847.710000001</v>
      </c>
      <c r="K45" s="124">
        <f t="shared" si="0"/>
        <v>411390535.33999997</v>
      </c>
      <c r="L45" s="123">
        <v>146957686.74000001</v>
      </c>
      <c r="M45" s="109">
        <f>VALTAX26!D50+VALTAX26!E50+VALTAX26!H50</f>
        <v>3.7159999999999997E-3</v>
      </c>
      <c r="N45" s="153">
        <f>(VALTAX26!D50/AFRAPR!M45)*AFRAPR!L45</f>
        <v>54535696.98989775</v>
      </c>
      <c r="O45" s="121">
        <v>207311161.56</v>
      </c>
      <c r="P45" s="121">
        <v>18814122.109999999</v>
      </c>
      <c r="Q45" s="123">
        <v>2312836.6</v>
      </c>
      <c r="R45" s="121">
        <v>0</v>
      </c>
      <c r="S45" s="125">
        <f t="shared" si="1"/>
        <v>282973817.25989777</v>
      </c>
      <c r="T45" s="125">
        <f t="shared" si="2"/>
        <v>128416718.08010221</v>
      </c>
      <c r="U45" s="151">
        <f>_xlfn.XLOOKUP(B45,FY26_FE_Data_April15[ID],FY26_FE_Data_April15[FY25 ADM - K-12 + SC],0,0)</f>
        <v>31835.772222222222</v>
      </c>
      <c r="V45" s="126">
        <f t="shared" si="3"/>
        <v>4033.7239877116567</v>
      </c>
      <c r="W45" s="127">
        <f t="shared" si="4"/>
        <v>2016.86</v>
      </c>
      <c r="Y45" s="114"/>
      <c r="Z45" s="115"/>
      <c r="AA45" s="116"/>
    </row>
    <row r="46" spans="1:27" s="134" customFormat="1" ht="18">
      <c r="A46" s="128"/>
      <c r="B46" s="128"/>
      <c r="C46" s="128"/>
      <c r="D46" s="129">
        <f t="shared" ref="D46:L46" si="5">SUM(D5:D45)</f>
        <v>6716564285.1699972</v>
      </c>
      <c r="E46" s="129">
        <f t="shared" si="5"/>
        <v>1566550088.8499994</v>
      </c>
      <c r="F46" s="129">
        <f t="shared" si="5"/>
        <v>58018239.749999993</v>
      </c>
      <c r="G46" s="129">
        <f t="shared" si="5"/>
        <v>80825224.719999984</v>
      </c>
      <c r="H46" s="129">
        <f t="shared" si="5"/>
        <v>104164307.50999999</v>
      </c>
      <c r="I46" s="129">
        <f t="shared" si="5"/>
        <v>254771126.51000002</v>
      </c>
      <c r="J46" s="129">
        <f t="shared" si="5"/>
        <v>845627319.10999978</v>
      </c>
      <c r="K46" s="129">
        <f t="shared" si="5"/>
        <v>7078551620.8900013</v>
      </c>
      <c r="L46" s="129">
        <f t="shared" si="5"/>
        <v>1984680131.0100002</v>
      </c>
      <c r="M46" s="154">
        <f>AVERAGE(M5:M45)</f>
        <v>3.5249268292682923E-3</v>
      </c>
      <c r="N46" s="129">
        <f t="shared" ref="N46:U46" si="6">SUM(N5:N45)</f>
        <v>781885839.53786778</v>
      </c>
      <c r="O46" s="129">
        <f t="shared" si="6"/>
        <v>4366638111.2099991</v>
      </c>
      <c r="P46" s="129">
        <f t="shared" si="6"/>
        <v>322018196.65000004</v>
      </c>
      <c r="Q46" s="129">
        <f t="shared" si="6"/>
        <v>86707919.659999982</v>
      </c>
      <c r="R46" s="129">
        <f t="shared" si="6"/>
        <v>15654397.469999999</v>
      </c>
      <c r="S46" s="129">
        <f t="shared" si="6"/>
        <v>5572904464.5278673</v>
      </c>
      <c r="T46" s="129">
        <f t="shared" si="6"/>
        <v>1505647156.362133</v>
      </c>
      <c r="U46" s="152">
        <f t="shared" si="6"/>
        <v>576537.05000000005</v>
      </c>
      <c r="V46" s="130">
        <f>MEDIAN(V5:V45)</f>
        <v>2994.4708038964654</v>
      </c>
      <c r="W46" s="131">
        <f>AVERAGE(W5:W45)</f>
        <v>1830.0680487804877</v>
      </c>
      <c r="X46" s="132"/>
      <c r="Y46" s="132"/>
      <c r="Z46" s="133"/>
    </row>
    <row r="47" spans="1:27" ht="18">
      <c r="A47" s="80"/>
      <c r="B47" s="80"/>
      <c r="C47" s="80"/>
      <c r="D47" s="135"/>
      <c r="E47" s="135"/>
      <c r="F47" s="135"/>
      <c r="G47" s="135"/>
      <c r="H47" s="135"/>
      <c r="I47" s="135"/>
      <c r="J47" s="135"/>
      <c r="K47" s="135"/>
      <c r="L47" s="135"/>
      <c r="M47" s="82"/>
      <c r="N47" s="135"/>
      <c r="O47" s="25"/>
      <c r="P47" s="25"/>
      <c r="Q47" s="25"/>
      <c r="R47" s="25"/>
      <c r="S47" s="135"/>
      <c r="T47" s="135"/>
      <c r="U47" s="136"/>
      <c r="V47" s="137"/>
      <c r="W47" s="138"/>
      <c r="X47" s="139"/>
      <c r="Y47" s="139"/>
      <c r="Z47" s="139"/>
    </row>
    <row r="48" spans="1:27" s="143" customFormat="1" ht="70">
      <c r="A48" s="140"/>
      <c r="B48" s="140"/>
      <c r="C48" s="140"/>
      <c r="D48" s="141" t="s">
        <v>203</v>
      </c>
      <c r="E48" s="141" t="s">
        <v>204</v>
      </c>
      <c r="F48" s="142" t="s">
        <v>794</v>
      </c>
      <c r="G48" s="141" t="s">
        <v>795</v>
      </c>
      <c r="H48" s="141" t="s">
        <v>221</v>
      </c>
      <c r="I48" s="141" t="s">
        <v>220</v>
      </c>
      <c r="J48" s="141" t="s">
        <v>219</v>
      </c>
      <c r="L48" s="141" t="s">
        <v>205</v>
      </c>
      <c r="M48" s="144" t="s">
        <v>218</v>
      </c>
      <c r="N48" s="143" t="s">
        <v>218</v>
      </c>
      <c r="O48" s="141" t="s">
        <v>217</v>
      </c>
      <c r="P48" s="141" t="s">
        <v>216</v>
      </c>
      <c r="Q48" s="141" t="s">
        <v>215</v>
      </c>
      <c r="R48" s="141" t="s">
        <v>214</v>
      </c>
    </row>
    <row r="49" spans="1:17" s="146" customFormat="1">
      <c r="A49" s="145"/>
      <c r="B49" s="145"/>
      <c r="C49" s="145"/>
      <c r="K49" s="147"/>
      <c r="L49" s="148"/>
      <c r="M49" s="149"/>
      <c r="Q49" s="148"/>
    </row>
    <row r="50" spans="1:17" ht="18">
      <c r="H50" s="139"/>
      <c r="I50" s="139"/>
      <c r="J50" s="139"/>
      <c r="L50" s="139"/>
      <c r="N50" s="139"/>
    </row>
    <row r="51" spans="1:17">
      <c r="E51" s="141"/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F01A2-D04A-43DE-BA0D-0EAC87046CEE}">
  <sheetPr syncVertical="1" syncRef="C10" transitionEvaluation="1"/>
  <dimension ref="A1:V57"/>
  <sheetViews>
    <sheetView showGridLines="0" zoomScale="90" zoomScaleNormal="90" workbookViewId="0">
      <pane xSplit="2" ySplit="9" topLeftCell="C10" activePane="bottomRight" state="frozen"/>
      <selection activeCell="A104" sqref="A104"/>
      <selection pane="topRight" activeCell="B104" sqref="B104"/>
      <selection pane="bottomLeft" activeCell="A104" sqref="A104"/>
      <selection pane="bottomRight" activeCell="N17" sqref="N17"/>
    </sheetView>
  </sheetViews>
  <sheetFormatPr defaultColWidth="14.1796875" defaultRowHeight="14.5"/>
  <cols>
    <col min="1" max="1" width="4.08984375" style="34" bestFit="1" customWidth="1"/>
    <col min="2" max="2" width="14.54296875" style="34" customWidth="1"/>
    <col min="3" max="3" width="19.1796875" style="34" bestFit="1" customWidth="1"/>
    <col min="4" max="4" width="14.81640625" style="34" bestFit="1" customWidth="1"/>
    <col min="5" max="5" width="14.1796875" style="34" bestFit="1" customWidth="1"/>
    <col min="6" max="6" width="14.90625" style="34" bestFit="1" customWidth="1"/>
    <col min="7" max="9" width="14.1796875" style="34" bestFit="1" customWidth="1"/>
    <col min="10" max="10" width="15.36328125" style="34" bestFit="1" customWidth="1"/>
    <col min="11" max="11" width="14.1796875" style="34" bestFit="1" customWidth="1"/>
    <col min="12" max="12" width="1.81640625" style="34" customWidth="1"/>
    <col min="13" max="13" width="12" style="34" bestFit="1" customWidth="1"/>
    <col min="14" max="14" width="14.1796875" style="34"/>
    <col min="15" max="15" width="20" style="34" bestFit="1" customWidth="1"/>
    <col min="16" max="16384" width="14.1796875" style="34"/>
  </cols>
  <sheetData>
    <row r="1" spans="1:22" s="26" customFormat="1" ht="18.5">
      <c r="B1" s="204" t="s">
        <v>101</v>
      </c>
      <c r="C1" s="204"/>
      <c r="D1" s="204"/>
      <c r="E1" s="204"/>
      <c r="F1" s="204"/>
      <c r="G1" s="204"/>
      <c r="H1" s="204"/>
      <c r="I1" s="204"/>
      <c r="J1" s="204"/>
      <c r="K1" s="27"/>
    </row>
    <row r="2" spans="1:22" s="26" customFormat="1" ht="18.5">
      <c r="B2" s="204" t="s">
        <v>113</v>
      </c>
      <c r="C2" s="204"/>
      <c r="D2" s="204"/>
      <c r="E2" s="204"/>
      <c r="F2" s="204"/>
      <c r="G2" s="204"/>
      <c r="H2" s="204"/>
      <c r="I2" s="204"/>
      <c r="J2" s="204"/>
      <c r="K2" s="27"/>
    </row>
    <row r="3" spans="1:22" s="26" customFormat="1" ht="18.5">
      <c r="B3" s="204" t="s">
        <v>797</v>
      </c>
      <c r="C3" s="204"/>
      <c r="D3" s="204"/>
      <c r="E3" s="204"/>
      <c r="F3" s="204"/>
      <c r="G3" s="204"/>
      <c r="H3" s="204"/>
      <c r="I3" s="204"/>
      <c r="J3" s="204"/>
    </row>
    <row r="4" spans="1:22">
      <c r="A4" s="28"/>
      <c r="B4" s="29" t="s">
        <v>115</v>
      </c>
      <c r="C4" s="30"/>
      <c r="D4" s="31"/>
      <c r="E4" s="32">
        <v>2.5000000000000001E-3</v>
      </c>
      <c r="F4" s="32"/>
      <c r="G4" s="32">
        <v>3.0000000000000001E-3</v>
      </c>
      <c r="H4" s="32">
        <v>2E-3</v>
      </c>
      <c r="I4" s="33" t="s">
        <v>116</v>
      </c>
      <c r="J4" s="31"/>
      <c r="K4" s="31"/>
    </row>
    <row r="5" spans="1:22">
      <c r="A5" s="28"/>
      <c r="B5" s="29" t="s">
        <v>117</v>
      </c>
      <c r="C5" s="35"/>
      <c r="D5" s="33">
        <v>210</v>
      </c>
      <c r="E5" s="36">
        <v>525</v>
      </c>
      <c r="F5" s="36">
        <v>527</v>
      </c>
      <c r="G5" s="33">
        <v>246</v>
      </c>
      <c r="H5" s="36">
        <v>510</v>
      </c>
      <c r="I5" s="33">
        <v>230</v>
      </c>
      <c r="J5" s="30">
        <v>190</v>
      </c>
      <c r="K5" s="33" t="s">
        <v>84</v>
      </c>
      <c r="L5" s="37"/>
      <c r="M5" s="38" t="s">
        <v>84</v>
      </c>
      <c r="N5" s="37"/>
      <c r="O5" s="37"/>
    </row>
    <row r="6" spans="1:22" s="40" customFormat="1">
      <c r="A6" s="39"/>
      <c r="B6" s="29"/>
      <c r="C6" s="30" t="s">
        <v>197</v>
      </c>
      <c r="D6" s="33" t="s">
        <v>223</v>
      </c>
      <c r="E6" s="33" t="s">
        <v>92</v>
      </c>
      <c r="F6" s="33" t="s">
        <v>139</v>
      </c>
      <c r="G6" s="33" t="s">
        <v>94</v>
      </c>
      <c r="H6" s="33" t="s">
        <v>91</v>
      </c>
      <c r="I6" s="33" t="s">
        <v>112</v>
      </c>
      <c r="J6" s="33" t="s">
        <v>124</v>
      </c>
      <c r="K6" s="33" t="s">
        <v>798</v>
      </c>
      <c r="M6" s="38" t="s">
        <v>99</v>
      </c>
      <c r="V6" s="38"/>
    </row>
    <row r="7" spans="1:22" s="40" customFormat="1">
      <c r="A7" s="39"/>
      <c r="B7" s="33" t="s">
        <v>87</v>
      </c>
      <c r="C7" s="30" t="s">
        <v>140</v>
      </c>
      <c r="D7" s="33" t="s">
        <v>93</v>
      </c>
      <c r="E7" s="33" t="s">
        <v>118</v>
      </c>
      <c r="F7" s="33" t="s">
        <v>141</v>
      </c>
      <c r="G7" s="33" t="s">
        <v>82</v>
      </c>
      <c r="H7" s="33" t="s">
        <v>82</v>
      </c>
      <c r="I7" s="41" t="s">
        <v>119</v>
      </c>
      <c r="J7" s="33" t="s">
        <v>125</v>
      </c>
      <c r="K7" s="33" t="s">
        <v>103</v>
      </c>
      <c r="L7" s="38"/>
      <c r="M7" s="38" t="s">
        <v>198</v>
      </c>
      <c r="N7" s="38"/>
      <c r="O7" s="38"/>
      <c r="P7" s="38"/>
      <c r="Q7" s="38"/>
      <c r="R7" s="38"/>
      <c r="S7" s="38"/>
      <c r="T7" s="38"/>
      <c r="U7" s="38"/>
      <c r="V7" s="38"/>
    </row>
    <row r="8" spans="1:22" s="40" customFormat="1">
      <c r="A8" s="39"/>
      <c r="B8" s="29"/>
      <c r="C8" s="30" t="s">
        <v>142</v>
      </c>
      <c r="D8" s="33" t="s">
        <v>95</v>
      </c>
      <c r="E8" s="42"/>
      <c r="F8" s="32"/>
      <c r="G8" s="33" t="s">
        <v>120</v>
      </c>
      <c r="H8" s="33" t="s">
        <v>120</v>
      </c>
      <c r="I8" s="33"/>
      <c r="J8" s="41" t="s">
        <v>127</v>
      </c>
      <c r="K8" s="33" t="s">
        <v>104</v>
      </c>
      <c r="L8" s="38"/>
      <c r="M8" s="38" t="s">
        <v>118</v>
      </c>
      <c r="N8" s="38"/>
      <c r="O8" s="38"/>
      <c r="P8" s="38"/>
      <c r="Q8" s="38"/>
      <c r="R8" s="38"/>
      <c r="S8" s="38"/>
      <c r="T8" s="38"/>
      <c r="U8" s="38"/>
      <c r="V8" s="38"/>
    </row>
    <row r="9" spans="1:22" s="40" customFormat="1" ht="33.75" customHeight="1">
      <c r="A9" s="39"/>
      <c r="B9" s="29"/>
      <c r="C9" s="43" t="s">
        <v>706</v>
      </c>
      <c r="D9" s="33" t="s">
        <v>143</v>
      </c>
      <c r="E9" s="33" t="s">
        <v>144</v>
      </c>
      <c r="F9" s="33" t="s">
        <v>145</v>
      </c>
      <c r="G9" s="33" t="s">
        <v>146</v>
      </c>
      <c r="H9" s="33" t="s">
        <v>147</v>
      </c>
      <c r="I9" s="33" t="s">
        <v>114</v>
      </c>
      <c r="J9" s="33" t="s">
        <v>126</v>
      </c>
      <c r="K9" s="33" t="s">
        <v>105</v>
      </c>
      <c r="L9" s="38"/>
      <c r="M9" s="38"/>
      <c r="N9" s="38"/>
      <c r="O9" s="38"/>
      <c r="P9" s="38"/>
      <c r="Q9" s="38"/>
      <c r="R9" s="38"/>
      <c r="S9" s="38"/>
      <c r="T9" s="38"/>
      <c r="V9" s="38"/>
    </row>
    <row r="10" spans="1:22">
      <c r="A10" s="44">
        <v>1</v>
      </c>
      <c r="B10" s="45" t="s">
        <v>43</v>
      </c>
      <c r="C10" s="46">
        <v>61247296364</v>
      </c>
      <c r="D10" s="47">
        <v>1.379E-3</v>
      </c>
      <c r="E10" s="47">
        <v>9.77E-4</v>
      </c>
      <c r="F10" s="47">
        <v>9.2999999999999997E-5</v>
      </c>
      <c r="G10" s="47">
        <v>1.7290000000000001E-3</v>
      </c>
      <c r="H10" s="47">
        <v>1.152E-3</v>
      </c>
      <c r="I10" s="47">
        <v>4.44E-4</v>
      </c>
      <c r="J10" s="47">
        <v>0</v>
      </c>
      <c r="K10" s="48">
        <f t="shared" ref="K10:K50" si="0">+SUM(D10:J10)</f>
        <v>5.7740000000000005E-3</v>
      </c>
      <c r="L10" s="49"/>
      <c r="M10" s="50">
        <f>K10-F10</f>
        <v>5.6810000000000003E-3</v>
      </c>
      <c r="N10" s="49"/>
      <c r="O10" s="50"/>
      <c r="P10" s="49"/>
      <c r="Q10" s="49"/>
      <c r="R10" s="49"/>
      <c r="S10" s="49"/>
      <c r="T10" s="49"/>
      <c r="U10" s="49"/>
      <c r="V10" s="51"/>
    </row>
    <row r="11" spans="1:22">
      <c r="A11" s="44">
        <v>2</v>
      </c>
      <c r="B11" s="45" t="s">
        <v>44</v>
      </c>
      <c r="C11" s="46">
        <v>1630411251</v>
      </c>
      <c r="D11" s="47">
        <v>1.379E-3</v>
      </c>
      <c r="E11" s="47">
        <v>1.7049999999999999E-3</v>
      </c>
      <c r="F11" s="47">
        <v>1.9999999999999999E-6</v>
      </c>
      <c r="G11" s="47">
        <v>9.2500000000000004E-4</v>
      </c>
      <c r="H11" s="47">
        <v>8.5300000000000003E-4</v>
      </c>
      <c r="I11" s="47">
        <v>3.2600000000000001E-4</v>
      </c>
      <c r="J11" s="47">
        <v>0</v>
      </c>
      <c r="K11" s="48">
        <f t="shared" si="0"/>
        <v>5.1900000000000002E-3</v>
      </c>
      <c r="L11" s="52"/>
      <c r="M11" s="50">
        <f t="shared" ref="M11:M50" si="1">K11-F11</f>
        <v>5.1879999999999999E-3</v>
      </c>
      <c r="N11" s="53"/>
      <c r="O11" s="50"/>
      <c r="P11" s="49"/>
      <c r="Q11" s="155"/>
      <c r="R11" s="155"/>
      <c r="S11" s="53"/>
      <c r="T11" s="53"/>
      <c r="U11" s="53"/>
      <c r="V11" s="51"/>
    </row>
    <row r="12" spans="1:22">
      <c r="A12" s="44">
        <v>3</v>
      </c>
      <c r="B12" s="45" t="s">
        <v>45</v>
      </c>
      <c r="C12" s="46">
        <v>8597963778</v>
      </c>
      <c r="D12" s="47">
        <v>1.379E-3</v>
      </c>
      <c r="E12" s="47">
        <v>2.2100000000000002E-3</v>
      </c>
      <c r="F12" s="47">
        <v>5.3000000000000001E-5</v>
      </c>
      <c r="G12" s="47">
        <v>2.3679999999999999E-3</v>
      </c>
      <c r="H12" s="47">
        <v>5.4000000000000001E-4</v>
      </c>
      <c r="I12" s="47">
        <v>4.28E-4</v>
      </c>
      <c r="J12" s="47">
        <v>0</v>
      </c>
      <c r="K12" s="48">
        <f t="shared" si="0"/>
        <v>6.9779999999999998E-3</v>
      </c>
      <c r="L12" s="52"/>
      <c r="M12" s="50">
        <f t="shared" si="1"/>
        <v>6.9249999999999997E-3</v>
      </c>
      <c r="N12" s="53"/>
      <c r="O12" s="50"/>
      <c r="P12" s="49"/>
      <c r="Q12" s="53"/>
      <c r="R12" s="53"/>
      <c r="S12" s="53"/>
      <c r="T12" s="53"/>
      <c r="U12" s="53"/>
      <c r="V12" s="51"/>
    </row>
    <row r="13" spans="1:22">
      <c r="A13" s="44">
        <v>4</v>
      </c>
      <c r="B13" s="45" t="s">
        <v>46</v>
      </c>
      <c r="C13" s="46">
        <v>12161551799</v>
      </c>
      <c r="D13" s="47">
        <v>1.379E-3</v>
      </c>
      <c r="E13" s="47">
        <v>7.1100000000000004E-4</v>
      </c>
      <c r="F13" s="47">
        <v>3.4999999999999997E-5</v>
      </c>
      <c r="G13" s="47">
        <v>4.2299999999999998E-4</v>
      </c>
      <c r="H13" s="47">
        <v>7.6199999999999998E-4</v>
      </c>
      <c r="I13" s="47">
        <v>1.3259999999999999E-3</v>
      </c>
      <c r="J13" s="47">
        <v>0</v>
      </c>
      <c r="K13" s="48">
        <f t="shared" si="0"/>
        <v>4.6359999999999995E-3</v>
      </c>
      <c r="L13" s="52"/>
      <c r="M13" s="50">
        <f t="shared" si="1"/>
        <v>4.6009999999999992E-3</v>
      </c>
      <c r="N13" s="53"/>
      <c r="O13" s="50"/>
      <c r="P13" s="49"/>
      <c r="Q13" s="53"/>
      <c r="R13" s="53"/>
      <c r="S13" s="53"/>
      <c r="T13" s="53"/>
      <c r="U13" s="53"/>
      <c r="V13" s="51"/>
    </row>
    <row r="14" spans="1:22">
      <c r="A14" s="44">
        <v>5</v>
      </c>
      <c r="B14" s="45" t="s">
        <v>47</v>
      </c>
      <c r="C14" s="46">
        <v>2556730265</v>
      </c>
      <c r="D14" s="47">
        <v>1.379E-3</v>
      </c>
      <c r="E14" s="47">
        <v>2.0379999999999999E-3</v>
      </c>
      <c r="F14" s="47">
        <v>1.01E-4</v>
      </c>
      <c r="G14" s="47">
        <v>1.4369999999999999E-3</v>
      </c>
      <c r="H14" s="47">
        <v>1.1000000000000001E-3</v>
      </c>
      <c r="I14" s="47">
        <v>1.042E-3</v>
      </c>
      <c r="J14" s="47">
        <v>0</v>
      </c>
      <c r="K14" s="48">
        <f t="shared" si="0"/>
        <v>7.0969999999999991E-3</v>
      </c>
      <c r="L14" s="52"/>
      <c r="M14" s="50">
        <f t="shared" si="1"/>
        <v>6.9959999999999987E-3</v>
      </c>
      <c r="N14" s="53"/>
      <c r="O14" s="50"/>
      <c r="P14" s="49"/>
      <c r="Q14" s="53"/>
      <c r="R14" s="53"/>
      <c r="S14" s="53"/>
      <c r="T14" s="53"/>
      <c r="U14" s="53"/>
      <c r="V14" s="51"/>
    </row>
    <row r="15" spans="1:22">
      <c r="A15" s="44">
        <v>6</v>
      </c>
      <c r="B15" s="45" t="s">
        <v>48</v>
      </c>
      <c r="C15" s="46">
        <v>543618703</v>
      </c>
      <c r="D15" s="47">
        <v>1.379E-3</v>
      </c>
      <c r="E15" s="47">
        <v>1.3669999999999999E-3</v>
      </c>
      <c r="F15" s="47">
        <v>0</v>
      </c>
      <c r="G15" s="47">
        <v>6.8400000000000004E-4</v>
      </c>
      <c r="H15" s="47">
        <v>0</v>
      </c>
      <c r="I15" s="47">
        <v>2.4899999999999998E-4</v>
      </c>
      <c r="J15" s="47">
        <v>0</v>
      </c>
      <c r="K15" s="48">
        <f t="shared" si="0"/>
        <v>3.6790000000000004E-3</v>
      </c>
      <c r="L15" s="52"/>
      <c r="M15" s="50">
        <f t="shared" si="1"/>
        <v>3.6790000000000004E-3</v>
      </c>
      <c r="N15" s="53"/>
      <c r="O15" s="50"/>
      <c r="P15" s="49"/>
      <c r="Q15" s="53"/>
      <c r="R15" s="53"/>
      <c r="S15" s="53"/>
      <c r="T15" s="53"/>
      <c r="U15" s="53"/>
      <c r="V15" s="51"/>
    </row>
    <row r="16" spans="1:22">
      <c r="A16" s="44">
        <v>7</v>
      </c>
      <c r="B16" s="45" t="s">
        <v>49</v>
      </c>
      <c r="C16" s="46">
        <v>44631657076</v>
      </c>
      <c r="D16" s="47">
        <v>1.379E-3</v>
      </c>
      <c r="E16" s="47">
        <v>1.3060000000000001E-3</v>
      </c>
      <c r="F16" s="47">
        <v>7.8999999999999996E-5</v>
      </c>
      <c r="G16" s="47">
        <v>5.1800000000000001E-4</v>
      </c>
      <c r="H16" s="47">
        <v>1.4090000000000001E-3</v>
      </c>
      <c r="I16" s="47">
        <v>1.6149999999999999E-3</v>
      </c>
      <c r="J16" s="47">
        <v>0</v>
      </c>
      <c r="K16" s="48">
        <f t="shared" si="0"/>
        <v>6.3060000000000008E-3</v>
      </c>
      <c r="L16" s="52"/>
      <c r="M16" s="50">
        <f t="shared" si="1"/>
        <v>6.2270000000000008E-3</v>
      </c>
      <c r="N16" s="53"/>
      <c r="O16" s="50"/>
      <c r="P16" s="49"/>
      <c r="Q16" s="53"/>
      <c r="R16" s="53"/>
      <c r="S16" s="53"/>
      <c r="T16" s="53"/>
      <c r="U16" s="53"/>
      <c r="V16" s="51"/>
    </row>
    <row r="17" spans="1:22">
      <c r="A17" s="44">
        <v>8</v>
      </c>
      <c r="B17" s="45" t="s">
        <v>50</v>
      </c>
      <c r="C17" s="46">
        <v>4566450496</v>
      </c>
      <c r="D17" s="47">
        <v>1.379E-3</v>
      </c>
      <c r="E17" s="47">
        <v>1.091E-3</v>
      </c>
      <c r="F17" s="47">
        <v>3.1000000000000001E-5</v>
      </c>
      <c r="G17" s="47">
        <v>2.5019999999999999E-3</v>
      </c>
      <c r="H17" s="47">
        <v>1.1659999999999999E-3</v>
      </c>
      <c r="I17" s="47">
        <v>1.2520000000000001E-3</v>
      </c>
      <c r="J17" s="47">
        <v>0</v>
      </c>
      <c r="K17" s="48">
        <f t="shared" si="0"/>
        <v>7.4210000000000005E-3</v>
      </c>
      <c r="L17" s="52"/>
      <c r="M17" s="50">
        <f t="shared" si="1"/>
        <v>7.3900000000000007E-3</v>
      </c>
      <c r="N17" s="53"/>
      <c r="O17" s="50"/>
      <c r="P17" s="49"/>
      <c r="Q17" s="53"/>
      <c r="R17" s="53"/>
      <c r="S17" s="53"/>
      <c r="T17" s="53"/>
      <c r="U17" s="53"/>
      <c r="V17" s="51"/>
    </row>
    <row r="18" spans="1:22">
      <c r="A18" s="44">
        <v>9</v>
      </c>
      <c r="B18" s="45" t="s">
        <v>51</v>
      </c>
      <c r="C18" s="46">
        <v>2155778876</v>
      </c>
      <c r="D18" s="47">
        <v>1.379E-3</v>
      </c>
      <c r="E18" s="47">
        <v>2.1930000000000001E-3</v>
      </c>
      <c r="F18" s="47">
        <v>2.5999999999999998E-5</v>
      </c>
      <c r="G18" s="47">
        <v>1.152E-3</v>
      </c>
      <c r="H18" s="47">
        <v>1.7099999999999999E-3</v>
      </c>
      <c r="I18" s="47">
        <v>2.2109999999999999E-3</v>
      </c>
      <c r="J18" s="47">
        <v>0</v>
      </c>
      <c r="K18" s="48">
        <f t="shared" si="0"/>
        <v>8.6709999999999999E-3</v>
      </c>
      <c r="L18" s="52"/>
      <c r="M18" s="50">
        <f t="shared" si="1"/>
        <v>8.6449999999999999E-3</v>
      </c>
      <c r="N18" s="53"/>
      <c r="O18" s="50"/>
      <c r="P18" s="49"/>
      <c r="Q18" s="53"/>
      <c r="R18" s="53"/>
      <c r="S18" s="53"/>
      <c r="T18" s="53"/>
      <c r="U18" s="53"/>
      <c r="V18" s="51"/>
    </row>
    <row r="19" spans="1:22">
      <c r="A19" s="44">
        <v>10</v>
      </c>
      <c r="B19" s="45" t="s">
        <v>52</v>
      </c>
      <c r="C19" s="46">
        <v>1204482674</v>
      </c>
      <c r="D19" s="47">
        <v>1.379E-3</v>
      </c>
      <c r="E19" s="47">
        <v>6.9999999999999999E-4</v>
      </c>
      <c r="F19" s="47">
        <v>0</v>
      </c>
      <c r="G19" s="47">
        <v>2.2499999999999998E-3</v>
      </c>
      <c r="H19" s="47">
        <v>1.2999999999999999E-3</v>
      </c>
      <c r="I19" s="47">
        <v>0</v>
      </c>
      <c r="J19" s="47">
        <v>0</v>
      </c>
      <c r="K19" s="48">
        <f t="shared" si="0"/>
        <v>5.6289999999999995E-3</v>
      </c>
      <c r="L19" s="52"/>
      <c r="M19" s="50">
        <f t="shared" si="1"/>
        <v>5.6289999999999995E-3</v>
      </c>
      <c r="N19" s="53"/>
      <c r="O19" s="50"/>
      <c r="P19" s="49"/>
      <c r="Q19" s="53"/>
      <c r="R19" s="53"/>
      <c r="S19" s="53"/>
      <c r="T19" s="53"/>
      <c r="U19" s="53"/>
      <c r="V19" s="51"/>
    </row>
    <row r="20" spans="1:22">
      <c r="A20" s="44">
        <v>11</v>
      </c>
      <c r="B20" s="45" t="s">
        <v>53</v>
      </c>
      <c r="C20" s="46">
        <v>3986040280</v>
      </c>
      <c r="D20" s="47">
        <v>1.379E-3</v>
      </c>
      <c r="E20" s="47">
        <v>1.5070000000000001E-3</v>
      </c>
      <c r="F20" s="47">
        <v>4.1999999999999998E-5</v>
      </c>
      <c r="G20" s="47">
        <v>1.3439999999999999E-3</v>
      </c>
      <c r="H20" s="47">
        <v>8.8199999999999997E-4</v>
      </c>
      <c r="I20" s="47">
        <v>5.5900000000000004E-4</v>
      </c>
      <c r="J20" s="47">
        <v>0</v>
      </c>
      <c r="K20" s="48">
        <f t="shared" si="0"/>
        <v>5.7129999999999993E-3</v>
      </c>
      <c r="L20" s="52"/>
      <c r="M20" s="50">
        <f t="shared" si="1"/>
        <v>5.670999999999999E-3</v>
      </c>
      <c r="N20" s="53"/>
      <c r="O20" s="50"/>
      <c r="P20" s="49"/>
      <c r="Q20" s="53"/>
      <c r="R20" s="53"/>
      <c r="S20" s="53"/>
      <c r="T20" s="53"/>
      <c r="U20" s="53"/>
      <c r="V20" s="51"/>
    </row>
    <row r="21" spans="1:22">
      <c r="A21" s="44">
        <v>12</v>
      </c>
      <c r="B21" s="45" t="s">
        <v>54</v>
      </c>
      <c r="C21" s="46">
        <v>53371491285</v>
      </c>
      <c r="D21" s="47">
        <v>1.379E-3</v>
      </c>
      <c r="E21" s="47">
        <v>1.5139999999999999E-3</v>
      </c>
      <c r="F21" s="47">
        <v>1.4200000000000001E-4</v>
      </c>
      <c r="G21" s="47">
        <v>1.4840000000000001E-3</v>
      </c>
      <c r="H21" s="47">
        <v>7.0699999999999995E-4</v>
      </c>
      <c r="I21" s="47">
        <v>6.3400000000000001E-4</v>
      </c>
      <c r="J21" s="47">
        <v>0</v>
      </c>
      <c r="K21" s="48">
        <f t="shared" si="0"/>
        <v>5.8600000000000006E-3</v>
      </c>
      <c r="L21" s="52"/>
      <c r="M21" s="50">
        <f t="shared" si="1"/>
        <v>5.7180000000000009E-3</v>
      </c>
      <c r="N21" s="53"/>
      <c r="O21" s="50"/>
      <c r="P21" s="49"/>
      <c r="Q21" s="53"/>
      <c r="R21" s="53"/>
      <c r="S21" s="53"/>
      <c r="T21" s="53"/>
      <c r="U21" s="53"/>
      <c r="V21" s="51"/>
    </row>
    <row r="22" spans="1:22">
      <c r="A22" s="44">
        <v>13</v>
      </c>
      <c r="B22" s="45" t="s">
        <v>55</v>
      </c>
      <c r="C22" s="46">
        <v>9043890715</v>
      </c>
      <c r="D22" s="47">
        <v>1.379E-3</v>
      </c>
      <c r="E22" s="47">
        <v>1.1429999999999999E-3</v>
      </c>
      <c r="F22" s="47">
        <v>3.4999999999999997E-5</v>
      </c>
      <c r="G22" s="47">
        <v>9.8700000000000003E-4</v>
      </c>
      <c r="H22" s="47">
        <v>5.2800000000000004E-4</v>
      </c>
      <c r="I22" s="47">
        <v>5.62E-4</v>
      </c>
      <c r="J22" s="47">
        <v>0</v>
      </c>
      <c r="K22" s="48">
        <f t="shared" si="0"/>
        <v>4.6340000000000001E-3</v>
      </c>
      <c r="L22" s="52"/>
      <c r="M22" s="50">
        <f t="shared" si="1"/>
        <v>4.5989999999999998E-3</v>
      </c>
      <c r="N22" s="53"/>
      <c r="O22" s="50"/>
      <c r="P22" s="49"/>
      <c r="Q22" s="53"/>
      <c r="R22" s="53"/>
      <c r="S22" s="53"/>
      <c r="T22" s="53"/>
      <c r="U22" s="53"/>
      <c r="V22" s="51"/>
    </row>
    <row r="23" spans="1:22">
      <c r="A23" s="44">
        <v>14</v>
      </c>
      <c r="B23" s="45" t="s">
        <v>56</v>
      </c>
      <c r="C23" s="46">
        <v>47947337535</v>
      </c>
      <c r="D23" s="47">
        <v>1.379E-3</v>
      </c>
      <c r="E23" s="47">
        <v>6.3900000000000003E-4</v>
      </c>
      <c r="F23" s="47">
        <v>1.26E-4</v>
      </c>
      <c r="G23" s="47">
        <v>1.06E-3</v>
      </c>
      <c r="H23" s="47">
        <v>1.6000000000000001E-3</v>
      </c>
      <c r="I23" s="47">
        <v>2.9399999999999999E-4</v>
      </c>
      <c r="J23" s="47">
        <v>0</v>
      </c>
      <c r="K23" s="48">
        <f t="shared" si="0"/>
        <v>5.0979999999999992E-3</v>
      </c>
      <c r="L23" s="52"/>
      <c r="M23" s="50">
        <f t="shared" si="1"/>
        <v>4.971999999999999E-3</v>
      </c>
      <c r="N23" s="54"/>
      <c r="O23" s="50"/>
      <c r="P23" s="49"/>
      <c r="Q23" s="53"/>
      <c r="R23" s="53"/>
      <c r="S23" s="53"/>
      <c r="T23" s="53"/>
      <c r="U23" s="51"/>
    </row>
    <row r="24" spans="1:22">
      <c r="A24" s="44">
        <v>15</v>
      </c>
      <c r="B24" s="45" t="s">
        <v>57</v>
      </c>
      <c r="C24" s="46">
        <v>2214364377</v>
      </c>
      <c r="D24" s="47">
        <v>1.379E-3</v>
      </c>
      <c r="E24" s="47">
        <v>1.763E-3</v>
      </c>
      <c r="F24" s="47">
        <v>2.9E-5</v>
      </c>
      <c r="G24" s="47">
        <v>1.519E-3</v>
      </c>
      <c r="H24" s="47">
        <v>2.6200000000000003E-4</v>
      </c>
      <c r="I24" s="47">
        <v>8.5800000000000004E-4</v>
      </c>
      <c r="J24" s="47">
        <v>0</v>
      </c>
      <c r="K24" s="48">
        <f t="shared" si="0"/>
        <v>5.8100000000000001E-3</v>
      </c>
      <c r="L24" s="52"/>
      <c r="M24" s="50">
        <f t="shared" si="1"/>
        <v>5.7809999999999997E-3</v>
      </c>
      <c r="N24" s="53"/>
      <c r="O24" s="50"/>
      <c r="P24" s="49"/>
      <c r="Q24" s="53"/>
      <c r="R24" s="53"/>
      <c r="S24" s="53"/>
      <c r="T24" s="53"/>
      <c r="U24" s="53"/>
      <c r="V24" s="51"/>
    </row>
    <row r="25" spans="1:22">
      <c r="A25" s="44">
        <v>16</v>
      </c>
      <c r="B25" s="45" t="s">
        <v>58</v>
      </c>
      <c r="C25" s="46">
        <v>3169974029</v>
      </c>
      <c r="D25" s="47">
        <v>1.379E-3</v>
      </c>
      <c r="E25" s="47">
        <v>9.7499999999999996E-4</v>
      </c>
      <c r="F25" s="47">
        <v>3.0000000000000001E-6</v>
      </c>
      <c r="G25" s="47">
        <v>1.2869999999999999E-3</v>
      </c>
      <c r="H25" s="47">
        <v>5.6999999999999998E-4</v>
      </c>
      <c r="I25" s="47">
        <v>0</v>
      </c>
      <c r="J25" s="47">
        <v>0</v>
      </c>
      <c r="K25" s="48">
        <f t="shared" si="0"/>
        <v>4.2139999999999999E-3</v>
      </c>
      <c r="L25" s="52"/>
      <c r="M25" s="50">
        <f t="shared" si="1"/>
        <v>4.2109999999999995E-3</v>
      </c>
      <c r="N25" s="53"/>
      <c r="O25" s="50"/>
      <c r="P25" s="49"/>
      <c r="Q25" s="53"/>
      <c r="R25" s="53"/>
      <c r="S25" s="53"/>
      <c r="T25" s="53"/>
      <c r="U25" s="53"/>
      <c r="V25" s="51"/>
    </row>
    <row r="26" spans="1:22">
      <c r="A26" s="44">
        <v>17</v>
      </c>
      <c r="B26" s="45" t="s">
        <v>59</v>
      </c>
      <c r="C26" s="46">
        <v>4752508754</v>
      </c>
      <c r="D26" s="47">
        <v>1.379E-3</v>
      </c>
      <c r="E26" s="47">
        <v>1.6869999999999999E-3</v>
      </c>
      <c r="F26" s="47">
        <v>1.1E-5</v>
      </c>
      <c r="G26" s="47">
        <v>1.294E-3</v>
      </c>
      <c r="H26" s="47">
        <v>5.4600000000000004E-4</v>
      </c>
      <c r="I26" s="47">
        <v>0</v>
      </c>
      <c r="J26" s="47">
        <v>0</v>
      </c>
      <c r="K26" s="48">
        <f t="shared" si="0"/>
        <v>4.9169999999999995E-3</v>
      </c>
      <c r="L26" s="52"/>
      <c r="M26" s="50">
        <f t="shared" si="1"/>
        <v>4.9059999999999998E-3</v>
      </c>
      <c r="N26" s="53"/>
      <c r="O26" s="50"/>
      <c r="P26" s="49"/>
      <c r="Q26" s="53"/>
      <c r="R26" s="53"/>
      <c r="S26" s="53"/>
      <c r="T26" s="53"/>
      <c r="U26" s="53"/>
      <c r="V26" s="51"/>
    </row>
    <row r="27" spans="1:22">
      <c r="A27" s="44">
        <v>18</v>
      </c>
      <c r="B27" s="45" t="s">
        <v>60</v>
      </c>
      <c r="C27" s="46">
        <v>3482384060</v>
      </c>
      <c r="D27" s="47">
        <v>1.379E-3</v>
      </c>
      <c r="E27" s="47">
        <v>1.887E-3</v>
      </c>
      <c r="F27" s="47">
        <v>2.1999999999999999E-5</v>
      </c>
      <c r="G27" s="47">
        <v>1.4250000000000001E-3</v>
      </c>
      <c r="H27" s="47">
        <v>0</v>
      </c>
      <c r="I27" s="47">
        <v>1.4109999999999999E-3</v>
      </c>
      <c r="J27" s="47">
        <v>0</v>
      </c>
      <c r="K27" s="48">
        <f t="shared" si="0"/>
        <v>6.1240000000000001E-3</v>
      </c>
      <c r="L27" s="52"/>
      <c r="M27" s="50">
        <f t="shared" si="1"/>
        <v>6.1019999999999998E-3</v>
      </c>
      <c r="N27" s="53"/>
      <c r="O27" s="50"/>
      <c r="P27" s="49"/>
      <c r="Q27" s="53"/>
      <c r="R27" s="53"/>
      <c r="S27" s="53"/>
      <c r="T27" s="53"/>
      <c r="U27" s="53"/>
      <c r="V27" s="51"/>
    </row>
    <row r="28" spans="1:22">
      <c r="A28" s="44">
        <v>19</v>
      </c>
      <c r="B28" s="45" t="s">
        <v>61</v>
      </c>
      <c r="C28" s="46">
        <v>21985220770</v>
      </c>
      <c r="D28" s="47">
        <v>1.379E-3</v>
      </c>
      <c r="E28" s="47">
        <v>1.1540000000000001E-3</v>
      </c>
      <c r="F28" s="47">
        <v>6.3E-5</v>
      </c>
      <c r="G28" s="47">
        <v>9.3099999999999997E-4</v>
      </c>
      <c r="H28" s="47">
        <v>1.2999999999999999E-3</v>
      </c>
      <c r="I28" s="47">
        <v>2.3999999999999998E-3</v>
      </c>
      <c r="J28" s="47">
        <v>0</v>
      </c>
      <c r="K28" s="48">
        <f t="shared" si="0"/>
        <v>7.226999999999999E-3</v>
      </c>
      <c r="L28" s="52"/>
      <c r="M28" s="50">
        <f t="shared" si="1"/>
        <v>7.1639999999999994E-3</v>
      </c>
      <c r="N28" s="53"/>
      <c r="O28" s="50"/>
      <c r="P28" s="49"/>
      <c r="Q28" s="53"/>
      <c r="R28" s="53"/>
      <c r="S28" s="53"/>
      <c r="T28" s="53"/>
      <c r="U28" s="53"/>
      <c r="V28" s="51"/>
    </row>
    <row r="29" spans="1:22">
      <c r="A29" s="44">
        <v>20</v>
      </c>
      <c r="B29" s="45" t="s">
        <v>62</v>
      </c>
      <c r="C29" s="46">
        <v>1871301514</v>
      </c>
      <c r="D29" s="47">
        <v>1.379E-3</v>
      </c>
      <c r="E29" s="47">
        <v>9.1799999999999998E-4</v>
      </c>
      <c r="F29" s="47">
        <v>1.2E-5</v>
      </c>
      <c r="G29" s="47">
        <v>9.0399999999999996E-4</v>
      </c>
      <c r="H29" s="47">
        <v>8.6499999999999999E-4</v>
      </c>
      <c r="I29" s="47">
        <v>6.9800000000000005E-4</v>
      </c>
      <c r="J29" s="47">
        <v>0</v>
      </c>
      <c r="K29" s="48">
        <f t="shared" si="0"/>
        <v>4.7759999999999999E-3</v>
      </c>
      <c r="L29" s="52"/>
      <c r="M29" s="50">
        <f t="shared" si="1"/>
        <v>4.764E-3</v>
      </c>
      <c r="N29" s="53"/>
      <c r="O29" s="50"/>
      <c r="P29" s="49"/>
      <c r="Q29" s="53"/>
      <c r="R29" s="53"/>
      <c r="S29" s="53"/>
      <c r="T29" s="53"/>
      <c r="U29" s="53"/>
      <c r="V29" s="51"/>
    </row>
    <row r="30" spans="1:22">
      <c r="A30" s="44">
        <v>21</v>
      </c>
      <c r="B30" s="45" t="s">
        <v>63</v>
      </c>
      <c r="C30" s="46">
        <v>4273695111</v>
      </c>
      <c r="D30" s="47">
        <v>1.379E-3</v>
      </c>
      <c r="E30" s="47">
        <v>1.1640000000000001E-3</v>
      </c>
      <c r="F30" s="47">
        <v>1.2999999999999999E-5</v>
      </c>
      <c r="G30" s="47">
        <v>3.7100000000000002E-4</v>
      </c>
      <c r="H30" s="47">
        <v>1.02E-4</v>
      </c>
      <c r="I30" s="47">
        <v>0</v>
      </c>
      <c r="J30" s="47">
        <v>0</v>
      </c>
      <c r="K30" s="48">
        <f t="shared" si="0"/>
        <v>3.029E-3</v>
      </c>
      <c r="L30" s="52"/>
      <c r="M30" s="50">
        <f t="shared" si="1"/>
        <v>3.016E-3</v>
      </c>
      <c r="N30" s="53"/>
      <c r="O30" s="50"/>
      <c r="P30" s="49"/>
      <c r="Q30" s="53"/>
      <c r="R30" s="53"/>
      <c r="S30" s="53"/>
      <c r="T30" s="53"/>
      <c r="U30" s="53"/>
      <c r="V30" s="51"/>
    </row>
    <row r="31" spans="1:22">
      <c r="A31" s="44">
        <v>22</v>
      </c>
      <c r="B31" s="45" t="s">
        <v>64</v>
      </c>
      <c r="C31" s="46">
        <v>40704041957</v>
      </c>
      <c r="D31" s="47">
        <v>1.379E-3</v>
      </c>
      <c r="E31" s="47">
        <v>1.2849999999999999E-3</v>
      </c>
      <c r="F31" s="47">
        <v>2.0999999999999999E-5</v>
      </c>
      <c r="G31" s="47">
        <v>2.2900000000000001E-4</v>
      </c>
      <c r="H31" s="47">
        <v>5.1800000000000001E-4</v>
      </c>
      <c r="I31" s="47">
        <v>1.3200000000000001E-4</v>
      </c>
      <c r="J31" s="47">
        <v>0</v>
      </c>
      <c r="K31" s="48">
        <f t="shared" si="0"/>
        <v>3.5640000000000003E-3</v>
      </c>
      <c r="L31" s="52"/>
      <c r="M31" s="50">
        <f t="shared" si="1"/>
        <v>3.5430000000000001E-3</v>
      </c>
      <c r="N31" s="53"/>
      <c r="O31" s="50"/>
      <c r="P31" s="49"/>
      <c r="Q31" s="53"/>
      <c r="R31" s="53"/>
      <c r="S31" s="53"/>
      <c r="T31" s="53"/>
      <c r="U31" s="53"/>
      <c r="V31" s="51"/>
    </row>
    <row r="32" spans="1:22">
      <c r="A32" s="44">
        <v>23</v>
      </c>
      <c r="B32" s="45" t="s">
        <v>65</v>
      </c>
      <c r="C32" s="46">
        <v>245987018</v>
      </c>
      <c r="D32" s="47">
        <v>1.379E-3</v>
      </c>
      <c r="E32" s="47">
        <v>4.0000000000000002E-4</v>
      </c>
      <c r="F32" s="47">
        <v>9.0000000000000002E-6</v>
      </c>
      <c r="G32" s="47">
        <v>1.0009999999999999E-3</v>
      </c>
      <c r="H32" s="47">
        <v>1.6000000000000001E-3</v>
      </c>
      <c r="I32" s="47">
        <v>0</v>
      </c>
      <c r="J32" s="47">
        <v>0</v>
      </c>
      <c r="K32" s="48">
        <f t="shared" si="0"/>
        <v>4.3889999999999997E-3</v>
      </c>
      <c r="L32" s="52"/>
      <c r="M32" s="50">
        <f t="shared" si="1"/>
        <v>4.3799999999999993E-3</v>
      </c>
      <c r="N32" s="53"/>
      <c r="O32" s="50"/>
      <c r="P32" s="49"/>
      <c r="Q32" s="53"/>
      <c r="R32" s="53"/>
      <c r="S32" s="53"/>
      <c r="T32" s="53"/>
      <c r="U32" s="53"/>
      <c r="V32" s="51"/>
    </row>
    <row r="33" spans="1:22">
      <c r="A33" s="44">
        <v>24</v>
      </c>
      <c r="B33" s="45" t="s">
        <v>66</v>
      </c>
      <c r="C33" s="46">
        <v>2966562621</v>
      </c>
      <c r="D33" s="47">
        <v>1.379E-3</v>
      </c>
      <c r="E33" s="47">
        <v>6.69E-4</v>
      </c>
      <c r="F33" s="47">
        <v>3.0000000000000001E-6</v>
      </c>
      <c r="G33" s="47">
        <v>1.06E-4</v>
      </c>
      <c r="H33" s="47">
        <v>6.4000000000000005E-4</v>
      </c>
      <c r="I33" s="47">
        <v>2.5999999999999998E-4</v>
      </c>
      <c r="J33" s="47">
        <v>0</v>
      </c>
      <c r="K33" s="48">
        <f t="shared" si="0"/>
        <v>3.0569999999999998E-3</v>
      </c>
      <c r="L33" s="52"/>
      <c r="M33" s="50">
        <f t="shared" si="1"/>
        <v>3.0539999999999999E-3</v>
      </c>
      <c r="N33" s="53"/>
      <c r="O33" s="50"/>
      <c r="P33" s="49"/>
      <c r="Q33" s="53"/>
      <c r="R33" s="53"/>
      <c r="S33" s="53"/>
      <c r="T33" s="53"/>
      <c r="U33" s="53"/>
      <c r="V33" s="51"/>
    </row>
    <row r="34" spans="1:22">
      <c r="A34" s="44">
        <v>25</v>
      </c>
      <c r="B34" s="45" t="s">
        <v>67</v>
      </c>
      <c r="C34" s="46">
        <v>1212792395</v>
      </c>
      <c r="D34" s="47">
        <v>1.379E-3</v>
      </c>
      <c r="E34" s="47">
        <v>4.0000000000000002E-4</v>
      </c>
      <c r="F34" s="47">
        <v>1.4E-5</v>
      </c>
      <c r="G34" s="47">
        <v>2.6289999999999998E-3</v>
      </c>
      <c r="H34" s="47">
        <v>1.6000000000000001E-3</v>
      </c>
      <c r="I34" s="47">
        <v>0</v>
      </c>
      <c r="J34" s="47">
        <v>0</v>
      </c>
      <c r="K34" s="48">
        <f t="shared" si="0"/>
        <v>6.0219999999999996E-3</v>
      </c>
      <c r="L34" s="52"/>
      <c r="M34" s="50">
        <f t="shared" si="1"/>
        <v>6.0079999999999995E-3</v>
      </c>
      <c r="N34" s="53"/>
      <c r="O34" s="50"/>
      <c r="P34" s="49"/>
      <c r="Q34" s="53"/>
      <c r="R34" s="53"/>
      <c r="S34" s="53"/>
      <c r="T34" s="53"/>
      <c r="U34" s="53"/>
      <c r="V34" s="51"/>
    </row>
    <row r="35" spans="1:22">
      <c r="A35" s="44">
        <v>26</v>
      </c>
      <c r="B35" s="45" t="s">
        <v>121</v>
      </c>
      <c r="C35" s="46">
        <v>2896923424</v>
      </c>
      <c r="D35" s="47">
        <v>1.379E-3</v>
      </c>
      <c r="E35" s="47">
        <v>1.077E-3</v>
      </c>
      <c r="F35" s="47">
        <v>6.0000000000000002E-6</v>
      </c>
      <c r="G35" s="47">
        <v>7.8100000000000001E-4</v>
      </c>
      <c r="H35" s="47">
        <v>8.4599999999999996E-4</v>
      </c>
      <c r="I35" s="47">
        <v>1E-3</v>
      </c>
      <c r="J35" s="47">
        <v>0</v>
      </c>
      <c r="K35" s="48">
        <f t="shared" si="0"/>
        <v>5.0889999999999998E-3</v>
      </c>
      <c r="L35" s="52"/>
      <c r="M35" s="50">
        <f t="shared" si="1"/>
        <v>5.0829999999999998E-3</v>
      </c>
      <c r="N35" s="53"/>
      <c r="O35" s="50"/>
      <c r="P35" s="49"/>
      <c r="Q35" s="53"/>
      <c r="R35" s="53"/>
      <c r="S35" s="53"/>
      <c r="T35" s="53"/>
      <c r="U35" s="53"/>
      <c r="V35" s="51"/>
    </row>
    <row r="36" spans="1:22">
      <c r="A36" s="44">
        <v>27</v>
      </c>
      <c r="B36" s="45" t="s">
        <v>69</v>
      </c>
      <c r="C36" s="46">
        <v>1388700934</v>
      </c>
      <c r="D36" s="47">
        <v>1.379E-3</v>
      </c>
      <c r="E36" s="47">
        <v>9.3199999999999999E-4</v>
      </c>
      <c r="F36" s="47">
        <v>1.8E-5</v>
      </c>
      <c r="G36" s="47">
        <v>1.529E-3</v>
      </c>
      <c r="H36" s="47">
        <v>1.026E-3</v>
      </c>
      <c r="I36" s="47">
        <v>1.6130000000000001E-3</v>
      </c>
      <c r="J36" s="47">
        <v>0</v>
      </c>
      <c r="K36" s="48">
        <f t="shared" si="0"/>
        <v>6.4969999999999993E-3</v>
      </c>
      <c r="L36" s="52"/>
      <c r="M36" s="50">
        <f t="shared" si="1"/>
        <v>6.4789999999999995E-3</v>
      </c>
      <c r="N36" s="53"/>
      <c r="O36" s="50"/>
      <c r="P36" s="49"/>
      <c r="Q36" s="53"/>
      <c r="R36" s="53"/>
      <c r="S36" s="53"/>
      <c r="T36" s="53"/>
      <c r="U36" s="53"/>
      <c r="V36" s="51"/>
    </row>
    <row r="37" spans="1:22">
      <c r="A37" s="44">
        <v>28</v>
      </c>
      <c r="B37" s="45" t="s">
        <v>70</v>
      </c>
      <c r="C37" s="46">
        <v>7177991857</v>
      </c>
      <c r="D37" s="47">
        <v>1.379E-3</v>
      </c>
      <c r="E37" s="47">
        <v>1.049E-3</v>
      </c>
      <c r="F37" s="47">
        <v>3.0000000000000001E-5</v>
      </c>
      <c r="G37" s="47">
        <v>6.9399999999999996E-4</v>
      </c>
      <c r="H37" s="47">
        <v>4.8999999999999998E-4</v>
      </c>
      <c r="I37" s="47">
        <v>0</v>
      </c>
      <c r="J37" s="47">
        <v>0</v>
      </c>
      <c r="K37" s="48">
        <f t="shared" si="0"/>
        <v>3.6420000000000003E-3</v>
      </c>
      <c r="L37" s="52"/>
      <c r="M37" s="50">
        <f t="shared" si="1"/>
        <v>3.6120000000000002E-3</v>
      </c>
      <c r="N37" s="53"/>
      <c r="O37" s="50"/>
      <c r="P37" s="49"/>
      <c r="Q37" s="53"/>
      <c r="R37" s="53"/>
      <c r="S37" s="53"/>
      <c r="T37" s="53"/>
      <c r="U37" s="53"/>
      <c r="V37" s="51"/>
    </row>
    <row r="38" spans="1:22">
      <c r="A38" s="44">
        <v>29</v>
      </c>
      <c r="B38" s="45" t="s">
        <v>71</v>
      </c>
      <c r="C38" s="46">
        <v>155532165</v>
      </c>
      <c r="D38" s="47">
        <v>1.379E-3</v>
      </c>
      <c r="E38" s="47">
        <v>8.1300000000000003E-4</v>
      </c>
      <c r="F38" s="47">
        <v>1.4E-5</v>
      </c>
      <c r="G38" s="47">
        <v>9.0899999999999998E-4</v>
      </c>
      <c r="H38" s="47">
        <v>1.3860000000000001E-3</v>
      </c>
      <c r="I38" s="47">
        <v>6.7500000000000004E-4</v>
      </c>
      <c r="J38" s="47">
        <v>0</v>
      </c>
      <c r="K38" s="48">
        <f t="shared" si="0"/>
        <v>5.176E-3</v>
      </c>
      <c r="L38" s="52"/>
      <c r="M38" s="50">
        <f t="shared" si="1"/>
        <v>5.1619999999999999E-3</v>
      </c>
      <c r="N38" s="53"/>
      <c r="O38" s="50"/>
      <c r="P38" s="49"/>
      <c r="Q38" s="53"/>
      <c r="R38" s="53"/>
      <c r="S38" s="53"/>
      <c r="T38" s="53"/>
      <c r="U38" s="53"/>
      <c r="V38" s="51"/>
    </row>
    <row r="39" spans="1:22">
      <c r="A39" s="44">
        <v>30</v>
      </c>
      <c r="B39" s="45" t="s">
        <v>72</v>
      </c>
      <c r="C39" s="46">
        <v>9452324098</v>
      </c>
      <c r="D39" s="47">
        <v>1.379E-3</v>
      </c>
      <c r="E39" s="47">
        <v>2.392E-3</v>
      </c>
      <c r="F39" s="47">
        <v>1.08E-4</v>
      </c>
      <c r="G39" s="47">
        <v>3.6900000000000002E-4</v>
      </c>
      <c r="H39" s="47">
        <v>1.6000000000000001E-3</v>
      </c>
      <c r="I39" s="47">
        <v>2.199E-3</v>
      </c>
      <c r="J39" s="47">
        <v>0</v>
      </c>
      <c r="K39" s="48">
        <f t="shared" si="0"/>
        <v>8.0470000000000003E-3</v>
      </c>
      <c r="L39" s="52"/>
      <c r="M39" s="50">
        <f t="shared" si="1"/>
        <v>7.9389999999999999E-3</v>
      </c>
      <c r="N39" s="53"/>
      <c r="O39" s="50"/>
      <c r="P39" s="49"/>
      <c r="Q39" s="53"/>
      <c r="R39" s="53"/>
      <c r="S39" s="53"/>
      <c r="T39" s="53"/>
      <c r="U39" s="53"/>
      <c r="V39" s="51"/>
    </row>
    <row r="40" spans="1:22">
      <c r="A40" s="44">
        <v>31</v>
      </c>
      <c r="B40" s="45" t="s">
        <v>108</v>
      </c>
      <c r="C40" s="46">
        <v>6142712355</v>
      </c>
      <c r="D40" s="47">
        <v>1.379E-3</v>
      </c>
      <c r="E40" s="47">
        <v>2.0100000000000001E-3</v>
      </c>
      <c r="F40" s="47">
        <v>9.7999999999999997E-5</v>
      </c>
      <c r="G40" s="47">
        <v>1.3290000000000001E-3</v>
      </c>
      <c r="H40" s="47">
        <v>0</v>
      </c>
      <c r="I40" s="47">
        <v>4.3800000000000002E-4</v>
      </c>
      <c r="J40" s="47">
        <v>6.4999999999999994E-5</v>
      </c>
      <c r="K40" s="48">
        <f t="shared" si="0"/>
        <v>5.3189999999999999E-3</v>
      </c>
      <c r="L40" s="52"/>
      <c r="M40" s="50">
        <f t="shared" si="1"/>
        <v>5.2209999999999999E-3</v>
      </c>
      <c r="N40" s="53"/>
      <c r="O40" s="50"/>
      <c r="P40" s="49"/>
      <c r="Q40" s="53"/>
      <c r="R40" s="53"/>
      <c r="S40" s="53"/>
      <c r="T40" s="53"/>
      <c r="U40" s="53"/>
      <c r="V40" s="51"/>
    </row>
    <row r="41" spans="1:22">
      <c r="A41" s="44">
        <v>32</v>
      </c>
      <c r="B41" s="45" t="s">
        <v>73</v>
      </c>
      <c r="C41" s="46">
        <v>19609034075</v>
      </c>
      <c r="D41" s="47">
        <v>1.379E-3</v>
      </c>
      <c r="E41" s="47">
        <v>1.5330000000000001E-3</v>
      </c>
      <c r="F41" s="47">
        <v>4.5000000000000003E-5</v>
      </c>
      <c r="G41" s="47">
        <v>1.923E-3</v>
      </c>
      <c r="H41" s="47">
        <v>1.1999999999999999E-3</v>
      </c>
      <c r="I41" s="47">
        <v>2.14E-4</v>
      </c>
      <c r="J41" s="47">
        <v>0</v>
      </c>
      <c r="K41" s="48">
        <f t="shared" si="0"/>
        <v>6.2939999999999992E-3</v>
      </c>
      <c r="L41" s="52"/>
      <c r="M41" s="50">
        <f t="shared" si="1"/>
        <v>6.2489999999999993E-3</v>
      </c>
      <c r="N41" s="53"/>
      <c r="O41" s="50"/>
      <c r="P41" s="49"/>
      <c r="Q41" s="53"/>
      <c r="R41" s="53"/>
      <c r="S41" s="53"/>
      <c r="T41" s="53"/>
      <c r="U41" s="53"/>
      <c r="V41" s="51"/>
    </row>
    <row r="42" spans="1:22">
      <c r="A42" s="44">
        <v>33</v>
      </c>
      <c r="B42" s="45" t="s">
        <v>74</v>
      </c>
      <c r="C42" s="46">
        <v>42801081466</v>
      </c>
      <c r="D42" s="47">
        <v>1.379E-3</v>
      </c>
      <c r="E42" s="47">
        <v>2.31E-4</v>
      </c>
      <c r="F42" s="47">
        <v>8.7999999999999998E-5</v>
      </c>
      <c r="G42" s="47">
        <v>1.928E-3</v>
      </c>
      <c r="H42" s="47">
        <v>1.0610000000000001E-3</v>
      </c>
      <c r="I42" s="47">
        <v>0</v>
      </c>
      <c r="J42" s="47">
        <v>0</v>
      </c>
      <c r="K42" s="48">
        <f t="shared" si="0"/>
        <v>4.6870000000000002E-3</v>
      </c>
      <c r="L42" s="52"/>
      <c r="M42" s="50">
        <f t="shared" si="1"/>
        <v>4.5989999999999998E-3</v>
      </c>
      <c r="N42" s="53"/>
      <c r="O42" s="50"/>
      <c r="P42" s="49"/>
      <c r="Q42" s="53"/>
      <c r="R42" s="53"/>
      <c r="S42" s="53"/>
      <c r="T42" s="53"/>
      <c r="U42" s="53"/>
      <c r="V42" s="51"/>
    </row>
    <row r="43" spans="1:22">
      <c r="A43" s="44">
        <v>34</v>
      </c>
      <c r="B43" s="45" t="s">
        <v>75</v>
      </c>
      <c r="C43" s="46">
        <v>806801659</v>
      </c>
      <c r="D43" s="47">
        <v>1.379E-3</v>
      </c>
      <c r="E43" s="47">
        <v>4.0000000000000002E-4</v>
      </c>
      <c r="F43" s="47">
        <v>3.9999999999999998E-6</v>
      </c>
      <c r="G43" s="47">
        <v>8.1300000000000003E-4</v>
      </c>
      <c r="H43" s="47">
        <v>1.6000000000000001E-3</v>
      </c>
      <c r="I43" s="47">
        <v>0</v>
      </c>
      <c r="J43" s="47">
        <v>0</v>
      </c>
      <c r="K43" s="48">
        <f t="shared" si="0"/>
        <v>4.1960000000000001E-3</v>
      </c>
      <c r="L43" s="52"/>
      <c r="M43" s="50">
        <f t="shared" si="1"/>
        <v>4.1920000000000004E-3</v>
      </c>
      <c r="N43" s="53"/>
      <c r="O43" s="50"/>
      <c r="P43" s="49"/>
      <c r="Q43" s="53"/>
      <c r="R43" s="53"/>
      <c r="S43" s="53"/>
      <c r="T43" s="53"/>
      <c r="U43" s="53"/>
      <c r="V43" s="51"/>
    </row>
    <row r="44" spans="1:22">
      <c r="A44" s="44">
        <v>35</v>
      </c>
      <c r="B44" s="45" t="s">
        <v>76</v>
      </c>
      <c r="C44" s="46">
        <v>25719369786</v>
      </c>
      <c r="D44" s="47">
        <v>1.379E-3</v>
      </c>
      <c r="E44" s="47">
        <v>8.4400000000000002E-4</v>
      </c>
      <c r="F44" s="47">
        <v>7.6000000000000004E-5</v>
      </c>
      <c r="G44" s="47">
        <v>1.4469999999999999E-3</v>
      </c>
      <c r="H44" s="47">
        <v>8.9999999999999998E-4</v>
      </c>
      <c r="I44" s="47">
        <v>1.1460000000000001E-3</v>
      </c>
      <c r="J44" s="47">
        <v>0</v>
      </c>
      <c r="K44" s="48">
        <f t="shared" si="0"/>
        <v>5.7920000000000003E-3</v>
      </c>
      <c r="L44" s="52"/>
      <c r="M44" s="50">
        <f t="shared" si="1"/>
        <v>5.7160000000000006E-3</v>
      </c>
      <c r="N44" s="53"/>
      <c r="O44" s="50"/>
      <c r="P44" s="49"/>
      <c r="Q44" s="53"/>
      <c r="R44" s="53"/>
      <c r="S44" s="53"/>
      <c r="T44" s="53"/>
      <c r="U44" s="53"/>
      <c r="V44" s="51"/>
    </row>
    <row r="45" spans="1:22">
      <c r="A45" s="44">
        <v>36</v>
      </c>
      <c r="B45" s="45" t="s">
        <v>77</v>
      </c>
      <c r="C45" s="46">
        <v>51489798790</v>
      </c>
      <c r="D45" s="47">
        <v>1.379E-3</v>
      </c>
      <c r="E45" s="47">
        <v>1.157E-3</v>
      </c>
      <c r="F45" s="47">
        <v>5.5000000000000002E-5</v>
      </c>
      <c r="G45" s="47">
        <v>5.1999999999999995E-4</v>
      </c>
      <c r="H45" s="47">
        <v>4.4099999999999999E-4</v>
      </c>
      <c r="I45" s="47">
        <v>2.1499999999999999E-4</v>
      </c>
      <c r="J45" s="47">
        <v>0</v>
      </c>
      <c r="K45" s="48">
        <f t="shared" si="0"/>
        <v>3.7669999999999999E-3</v>
      </c>
      <c r="L45" s="52"/>
      <c r="M45" s="50">
        <f t="shared" si="1"/>
        <v>3.712E-3</v>
      </c>
      <c r="N45" s="53"/>
      <c r="O45" s="50"/>
      <c r="P45" s="49"/>
      <c r="Q45" s="53"/>
      <c r="R45" s="53"/>
      <c r="S45" s="53"/>
      <c r="T45" s="53"/>
      <c r="U45" s="53"/>
      <c r="V45" s="51"/>
    </row>
    <row r="46" spans="1:22">
      <c r="A46" s="44">
        <v>37</v>
      </c>
      <c r="B46" s="45" t="s">
        <v>78</v>
      </c>
      <c r="C46" s="46">
        <v>10167151980</v>
      </c>
      <c r="D46" s="47">
        <v>1.379E-3</v>
      </c>
      <c r="E46" s="47">
        <v>1.1310000000000001E-3</v>
      </c>
      <c r="F46" s="47">
        <v>2.1100000000000001E-4</v>
      </c>
      <c r="G46" s="47">
        <v>1.351E-3</v>
      </c>
      <c r="H46" s="47">
        <v>1.441E-3</v>
      </c>
      <c r="I46" s="47">
        <v>1.4250000000000001E-3</v>
      </c>
      <c r="J46" s="47">
        <v>0</v>
      </c>
      <c r="K46" s="48">
        <f t="shared" si="0"/>
        <v>6.9380000000000006E-3</v>
      </c>
      <c r="L46" s="52"/>
      <c r="M46" s="50">
        <f t="shared" si="1"/>
        <v>6.7270000000000003E-3</v>
      </c>
      <c r="N46" s="53"/>
      <c r="O46" s="50"/>
      <c r="P46" s="49"/>
      <c r="Q46" s="53"/>
      <c r="R46" s="53"/>
      <c r="S46" s="53"/>
      <c r="T46" s="53"/>
      <c r="U46" s="53"/>
      <c r="V46" s="51"/>
    </row>
    <row r="47" spans="1:22">
      <c r="A47" s="44">
        <v>38</v>
      </c>
      <c r="B47" s="45" t="s">
        <v>79</v>
      </c>
      <c r="C47" s="46">
        <v>11844503536</v>
      </c>
      <c r="D47" s="47">
        <v>1.379E-3</v>
      </c>
      <c r="E47" s="47">
        <v>1.645E-3</v>
      </c>
      <c r="F47" s="47">
        <v>1.1E-4</v>
      </c>
      <c r="G47" s="47">
        <v>1.14E-3</v>
      </c>
      <c r="H47" s="47">
        <v>1.2390000000000001E-3</v>
      </c>
      <c r="I47" s="47">
        <v>1.4090000000000001E-3</v>
      </c>
      <c r="J47" s="47">
        <v>0</v>
      </c>
      <c r="K47" s="48">
        <f t="shared" si="0"/>
        <v>6.9220000000000011E-3</v>
      </c>
      <c r="L47" s="52"/>
      <c r="M47" s="50">
        <f t="shared" si="1"/>
        <v>6.8120000000000012E-3</v>
      </c>
      <c r="N47" s="53"/>
      <c r="O47" s="50"/>
      <c r="P47" s="49"/>
      <c r="Q47" s="53"/>
      <c r="R47" s="53"/>
      <c r="S47" s="53"/>
      <c r="T47" s="53"/>
      <c r="U47" s="53"/>
      <c r="V47" s="51"/>
    </row>
    <row r="48" spans="1:22">
      <c r="A48" s="44">
        <v>39</v>
      </c>
      <c r="B48" s="45" t="s">
        <v>80</v>
      </c>
      <c r="C48" s="46">
        <v>6094135877</v>
      </c>
      <c r="D48" s="47">
        <v>1.379E-3</v>
      </c>
      <c r="E48" s="47">
        <v>1.2260000000000001E-3</v>
      </c>
      <c r="F48" s="47">
        <v>1.21E-4</v>
      </c>
      <c r="G48" s="47">
        <v>1.183E-3</v>
      </c>
      <c r="H48" s="47">
        <v>8.2299999999999995E-4</v>
      </c>
      <c r="I48" s="47">
        <v>6.4300000000000002E-4</v>
      </c>
      <c r="J48" s="47">
        <v>0</v>
      </c>
      <c r="K48" s="48">
        <f t="shared" si="0"/>
        <v>5.3750000000000004E-3</v>
      </c>
      <c r="L48" s="52"/>
      <c r="M48" s="50">
        <f t="shared" si="1"/>
        <v>5.2540000000000009E-3</v>
      </c>
      <c r="N48" s="53"/>
      <c r="O48" s="50"/>
      <c r="P48" s="49"/>
      <c r="Q48" s="53"/>
      <c r="R48" s="53"/>
      <c r="S48" s="53"/>
      <c r="T48" s="53"/>
      <c r="U48" s="53"/>
      <c r="V48" s="51"/>
    </row>
    <row r="49" spans="1:22">
      <c r="A49" s="44">
        <v>40</v>
      </c>
      <c r="B49" s="45" t="s">
        <v>81</v>
      </c>
      <c r="C49" s="46">
        <v>7373908502</v>
      </c>
      <c r="D49" s="47">
        <v>1.379E-3</v>
      </c>
      <c r="E49" s="47">
        <v>1.0430000000000001E-3</v>
      </c>
      <c r="F49" s="47">
        <v>3.4E-5</v>
      </c>
      <c r="G49" s="47">
        <v>3.6099999999999999E-4</v>
      </c>
      <c r="H49" s="47">
        <v>9.9500000000000001E-4</v>
      </c>
      <c r="I49" s="47">
        <v>7.1599999999999995E-4</v>
      </c>
      <c r="J49" s="47">
        <v>0</v>
      </c>
      <c r="K49" s="48">
        <f t="shared" si="0"/>
        <v>4.5279999999999999E-3</v>
      </c>
      <c r="L49" s="52"/>
      <c r="M49" s="50">
        <f t="shared" si="1"/>
        <v>4.4939999999999997E-3</v>
      </c>
      <c r="N49" s="53"/>
      <c r="O49" s="50"/>
      <c r="P49" s="49"/>
      <c r="Q49" s="53"/>
      <c r="R49" s="53"/>
      <c r="S49" s="53"/>
      <c r="T49" s="53"/>
      <c r="U49" s="53"/>
      <c r="V49" s="51"/>
    </row>
    <row r="50" spans="1:22">
      <c r="A50" s="44">
        <v>42</v>
      </c>
      <c r="B50" s="45" t="s">
        <v>111</v>
      </c>
      <c r="C50" s="46">
        <v>39681302772</v>
      </c>
      <c r="D50" s="47">
        <v>1.379E-3</v>
      </c>
      <c r="E50" s="47">
        <v>1.1559999999999999E-3</v>
      </c>
      <c r="F50" s="47">
        <v>5.5999999999999999E-5</v>
      </c>
      <c r="G50" s="47">
        <v>7.1599999999999995E-4</v>
      </c>
      <c r="H50" s="47">
        <v>1.181E-3</v>
      </c>
      <c r="I50" s="47">
        <v>1.168E-3</v>
      </c>
      <c r="J50" s="47">
        <v>0</v>
      </c>
      <c r="K50" s="48">
        <f t="shared" si="0"/>
        <v>5.6559999999999996E-3</v>
      </c>
      <c r="L50" s="52"/>
      <c r="M50" s="50">
        <f t="shared" si="1"/>
        <v>5.5999999999999999E-3</v>
      </c>
      <c r="N50" s="53"/>
      <c r="O50" s="50"/>
      <c r="P50" s="49"/>
      <c r="Q50" s="53"/>
      <c r="R50" s="53"/>
      <c r="S50" s="53"/>
      <c r="T50" s="53"/>
      <c r="U50" s="53"/>
      <c r="V50" s="51"/>
    </row>
    <row r="51" spans="1:22">
      <c r="A51" s="55"/>
      <c r="B51" s="33" t="s">
        <v>84</v>
      </c>
      <c r="C51" s="56">
        <f>SUM(C10:C50)</f>
        <v>583324806979</v>
      </c>
      <c r="D51" s="47"/>
      <c r="E51" s="47"/>
      <c r="F51" s="47"/>
      <c r="G51" s="47"/>
      <c r="H51" s="47"/>
      <c r="I51" s="47"/>
      <c r="J51" s="47"/>
      <c r="K51" s="57"/>
      <c r="L51" s="49"/>
      <c r="M51" s="58"/>
      <c r="N51" s="49"/>
      <c r="O51" s="59"/>
      <c r="P51" s="49"/>
      <c r="Q51" s="49"/>
      <c r="R51" s="49"/>
      <c r="S51" s="49"/>
      <c r="T51" s="49"/>
      <c r="U51" s="49"/>
      <c r="V51" s="51"/>
    </row>
    <row r="52" spans="1:22" s="40" customFormat="1">
      <c r="A52" s="60"/>
      <c r="B52" s="45" t="s">
        <v>106</v>
      </c>
      <c r="C52" s="61"/>
      <c r="D52" s="62">
        <f>AVERAGE(D10:D50)</f>
        <v>1.3789999999999987E-3</v>
      </c>
      <c r="E52" s="62">
        <f t="shared" ref="E52:K52" si="2">AVERAGE(E10:E50)</f>
        <v>1.2205365853658536E-3</v>
      </c>
      <c r="F52" s="62">
        <f t="shared" si="2"/>
        <v>4.9731707317073173E-5</v>
      </c>
      <c r="G52" s="62">
        <f t="shared" si="2"/>
        <v>1.1598048780487803E-3</v>
      </c>
      <c r="H52" s="62">
        <f t="shared" si="2"/>
        <v>9.2539024390243905E-4</v>
      </c>
      <c r="I52" s="62">
        <f t="shared" si="2"/>
        <v>7.2102439024390253E-4</v>
      </c>
      <c r="J52" s="62">
        <f t="shared" si="2"/>
        <v>1.5853658536585364E-6</v>
      </c>
      <c r="K52" s="62">
        <f t="shared" si="2"/>
        <v>5.4570731707317081E-3</v>
      </c>
      <c r="M52" s="63">
        <f>AVERAGE(M10:M51)</f>
        <v>5.4073414634146361E-3</v>
      </c>
    </row>
    <row r="53" spans="1:22" hidden="1">
      <c r="A53" s="28"/>
      <c r="B53" s="64" t="s">
        <v>148</v>
      </c>
      <c r="C53" s="49"/>
      <c r="D53" s="65"/>
      <c r="E53" s="66"/>
      <c r="F53" s="67"/>
      <c r="G53" s="67"/>
      <c r="H53" s="68"/>
      <c r="I53" s="67"/>
      <c r="J53" s="67"/>
      <c r="K53" s="69"/>
      <c r="M53" s="40"/>
    </row>
    <row r="54" spans="1:22" hidden="1">
      <c r="A54" s="28"/>
      <c r="B54" s="70" t="s">
        <v>149</v>
      </c>
      <c r="F54" s="71"/>
      <c r="G54" s="71"/>
      <c r="H54" s="72"/>
      <c r="I54" s="73"/>
      <c r="J54" s="67"/>
    </row>
    <row r="55" spans="1:22">
      <c r="A55" s="28"/>
      <c r="B55" s="64" t="s">
        <v>150</v>
      </c>
      <c r="F55" s="71"/>
      <c r="G55" s="71"/>
      <c r="H55" s="68"/>
      <c r="J55" s="67"/>
      <c r="M55" s="68"/>
    </row>
    <row r="56" spans="1:22">
      <c r="A56" s="28"/>
      <c r="B56" s="64" t="s">
        <v>151</v>
      </c>
      <c r="J56" s="67"/>
      <c r="M56" s="68"/>
    </row>
    <row r="57" spans="1:22">
      <c r="A57" s="28"/>
      <c r="B57" s="74" t="s">
        <v>107</v>
      </c>
      <c r="F57" s="71"/>
      <c r="G57" s="71"/>
      <c r="H57" s="75"/>
      <c r="J57" s="67"/>
      <c r="M57" s="68"/>
    </row>
  </sheetData>
  <mergeCells count="3">
    <mergeCell ref="B1:J1"/>
    <mergeCell ref="B2:J2"/>
    <mergeCell ref="B3:J3"/>
  </mergeCells>
  <printOptions horizontalCentered="1" verticalCentered="1" gridLinesSet="0"/>
  <pageMargins left="0.17" right="0.17" top="0.17" bottom="0.17" header="0.17" footer="0.17"/>
  <pageSetup scale="80" fitToWidth="0" pageOrder="overThenDown" orientation="landscape" r:id="rId1"/>
  <headerFooter alignWithMargins="0">
    <oddHeader>&amp;L&amp;"+,Bold Italic"&amp;8Status: Pre-Final&amp;R&amp;"Helv,Bold Italic"&amp;8Current as of: 30-Sept-2014</oddHeader>
    <oddFooter>&amp;L&amp;"+,Bold Italic"&amp;8Source: Rates: State Tax Commission and School Districts;  Est. Valuations: USOE.
Compiled by USOE; School Finance--Cathy Dudley&amp;C&amp;"+,Bold Italic"&amp;8Page &amp;P&amp;R&amp;"+,Bold Italic"&amp;8&amp;Z&amp;F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B59E8-FC0C-4DF1-B55F-8C6771EE1182}">
  <dimension ref="A1:HY187"/>
  <sheetViews>
    <sheetView zoomScale="130" zoomScaleNormal="130" workbookViewId="0">
      <pane xSplit="4" ySplit="1" topLeftCell="FU157" activePane="bottomRight" state="frozen"/>
      <selection pane="topRight" activeCell="E1" sqref="E1"/>
      <selection pane="bottomLeft" activeCell="A2" sqref="A2"/>
      <selection pane="bottomRight" activeCell="A187" sqref="A187"/>
    </sheetView>
  </sheetViews>
  <sheetFormatPr defaultColWidth="11.81640625" defaultRowHeight="13"/>
  <cols>
    <col min="1" max="1" width="11.81640625" style="158"/>
    <col min="2" max="2" width="9.1796875" style="158" customWidth="1"/>
    <col min="3" max="3" width="11.81640625" style="157"/>
    <col min="4" max="4" width="12.81640625" style="157" customWidth="1"/>
    <col min="5" max="7" width="11" style="157" bestFit="1" customWidth="1"/>
    <col min="8" max="40" width="11.81640625" style="157"/>
    <col min="41" max="41" width="10.08984375" style="157" bestFit="1" customWidth="1"/>
    <col min="42" max="79" width="11.81640625" style="157"/>
    <col min="80" max="80" width="11.81640625" style="157" customWidth="1"/>
    <col min="81" max="100" width="11.81640625" style="157"/>
    <col min="101" max="101" width="10.08984375" style="157" bestFit="1" customWidth="1"/>
    <col min="102" max="140" width="11.81640625" style="157"/>
    <col min="141" max="141" width="18.1796875" style="157" bestFit="1" customWidth="1"/>
    <col min="142" max="142" width="11.81640625" style="157"/>
    <col min="143" max="143" width="18.1796875" style="157" bestFit="1" customWidth="1"/>
    <col min="144" max="150" width="11.81640625" style="157"/>
    <col min="151" max="151" width="15.81640625" style="157" customWidth="1"/>
    <col min="152" max="152" width="15.453125" style="157" customWidth="1"/>
    <col min="153" max="166" width="11.81640625" style="157"/>
    <col min="167" max="167" width="11.81640625" style="157" customWidth="1"/>
    <col min="168" max="180" width="11.81640625" style="157"/>
    <col min="181" max="181" width="10.08984375" style="157" bestFit="1" customWidth="1"/>
    <col min="182" max="16384" width="11.81640625" style="157"/>
  </cols>
  <sheetData>
    <row r="1" spans="1:229" s="200" customFormat="1" ht="104">
      <c r="A1" s="196" t="s">
        <v>196</v>
      </c>
      <c r="B1" s="196" t="s">
        <v>224</v>
      </c>
      <c r="C1" s="196" t="s">
        <v>225</v>
      </c>
      <c r="D1" s="196" t="s">
        <v>226</v>
      </c>
      <c r="E1" s="196" t="s">
        <v>707</v>
      </c>
      <c r="F1" s="196" t="s">
        <v>708</v>
      </c>
      <c r="G1" s="196" t="s">
        <v>799</v>
      </c>
      <c r="H1" s="196" t="s">
        <v>227</v>
      </c>
      <c r="I1" s="196" t="s">
        <v>228</v>
      </c>
      <c r="J1" s="196" t="s">
        <v>800</v>
      </c>
      <c r="K1" s="197" t="s">
        <v>229</v>
      </c>
      <c r="L1" s="198" t="s">
        <v>230</v>
      </c>
      <c r="M1" s="198" t="s">
        <v>231</v>
      </c>
      <c r="N1" s="198" t="s">
        <v>232</v>
      </c>
      <c r="O1" s="198" t="s">
        <v>233</v>
      </c>
      <c r="P1" s="199" t="s">
        <v>234</v>
      </c>
      <c r="Q1" s="199" t="s">
        <v>235</v>
      </c>
      <c r="R1" s="199" t="s">
        <v>236</v>
      </c>
      <c r="S1" s="196" t="s">
        <v>237</v>
      </c>
      <c r="T1" s="196" t="s">
        <v>238</v>
      </c>
      <c r="U1" s="196" t="s">
        <v>239</v>
      </c>
      <c r="V1" s="196" t="s">
        <v>240</v>
      </c>
      <c r="W1" s="196" t="s">
        <v>241</v>
      </c>
      <c r="X1" s="196" t="s">
        <v>242</v>
      </c>
      <c r="Y1" s="196" t="s">
        <v>243</v>
      </c>
      <c r="Z1" s="196" t="s">
        <v>244</v>
      </c>
      <c r="AA1" s="196" t="s">
        <v>245</v>
      </c>
      <c r="AB1" s="196" t="s">
        <v>246</v>
      </c>
      <c r="AC1" s="196" t="s">
        <v>247</v>
      </c>
      <c r="AD1" s="196" t="s">
        <v>248</v>
      </c>
      <c r="AE1" s="196" t="s">
        <v>249</v>
      </c>
      <c r="AF1" s="196" t="s">
        <v>250</v>
      </c>
      <c r="AG1" s="196" t="s">
        <v>251</v>
      </c>
      <c r="AH1" s="196" t="s">
        <v>252</v>
      </c>
      <c r="AI1" s="196" t="s">
        <v>253</v>
      </c>
      <c r="AJ1" s="196" t="s">
        <v>254</v>
      </c>
      <c r="AK1" s="196" t="s">
        <v>255</v>
      </c>
      <c r="AL1" s="196" t="s">
        <v>801</v>
      </c>
      <c r="AM1" s="196" t="s">
        <v>802</v>
      </c>
      <c r="AN1" s="196" t="s">
        <v>803</v>
      </c>
      <c r="AO1" s="196" t="s">
        <v>804</v>
      </c>
      <c r="AP1" s="196" t="s">
        <v>256</v>
      </c>
      <c r="AQ1" s="196" t="s">
        <v>257</v>
      </c>
      <c r="AR1" s="196" t="s">
        <v>258</v>
      </c>
      <c r="AS1" s="196" t="s">
        <v>259</v>
      </c>
      <c r="AT1" s="196" t="s">
        <v>260</v>
      </c>
      <c r="AU1" s="196" t="s">
        <v>261</v>
      </c>
      <c r="AV1" s="196" t="s">
        <v>262</v>
      </c>
      <c r="AW1" s="196" t="s">
        <v>263</v>
      </c>
      <c r="AX1" s="196" t="s">
        <v>264</v>
      </c>
      <c r="AY1" s="196" t="s">
        <v>265</v>
      </c>
      <c r="AZ1" s="196" t="s">
        <v>266</v>
      </c>
      <c r="BA1" s="196" t="s">
        <v>267</v>
      </c>
      <c r="BB1" s="196" t="s">
        <v>268</v>
      </c>
      <c r="BC1" s="196" t="s">
        <v>269</v>
      </c>
      <c r="BD1" s="196" t="s">
        <v>270</v>
      </c>
      <c r="BE1" s="196" t="s">
        <v>271</v>
      </c>
      <c r="BF1" s="196" t="s">
        <v>272</v>
      </c>
      <c r="BG1" s="196" t="s">
        <v>273</v>
      </c>
      <c r="BH1" s="196" t="s">
        <v>274</v>
      </c>
      <c r="BI1" s="196" t="s">
        <v>275</v>
      </c>
      <c r="BJ1" s="196" t="s">
        <v>276</v>
      </c>
      <c r="BK1" s="196" t="s">
        <v>277</v>
      </c>
      <c r="BL1" s="196" t="s">
        <v>278</v>
      </c>
      <c r="BM1" s="196" t="s">
        <v>279</v>
      </c>
      <c r="BN1" s="196" t="s">
        <v>280</v>
      </c>
      <c r="BO1" s="196" t="s">
        <v>281</v>
      </c>
      <c r="BP1" s="196" t="s">
        <v>282</v>
      </c>
      <c r="BQ1" s="199" t="s">
        <v>283</v>
      </c>
      <c r="BR1" s="199" t="s">
        <v>709</v>
      </c>
      <c r="BS1" s="199" t="s">
        <v>710</v>
      </c>
      <c r="BT1" s="199" t="s">
        <v>711</v>
      </c>
      <c r="BU1" s="199" t="s">
        <v>712</v>
      </c>
      <c r="BV1" s="199" t="s">
        <v>284</v>
      </c>
      <c r="BW1" s="199" t="s">
        <v>285</v>
      </c>
      <c r="BX1" s="199" t="s">
        <v>286</v>
      </c>
      <c r="BY1" s="199" t="s">
        <v>713</v>
      </c>
      <c r="BZ1" s="199" t="s">
        <v>714</v>
      </c>
      <c r="CA1" s="199" t="s">
        <v>715</v>
      </c>
      <c r="CB1" s="199" t="s">
        <v>716</v>
      </c>
      <c r="CC1" s="199" t="s">
        <v>717</v>
      </c>
      <c r="CD1" s="199" t="s">
        <v>718</v>
      </c>
      <c r="CE1" s="199" t="s">
        <v>719</v>
      </c>
      <c r="CF1" s="199" t="s">
        <v>720</v>
      </c>
      <c r="CG1" s="199" t="s">
        <v>721</v>
      </c>
      <c r="CH1" s="199" t="s">
        <v>722</v>
      </c>
      <c r="CI1" s="199" t="s">
        <v>723</v>
      </c>
      <c r="CJ1" s="199" t="s">
        <v>724</v>
      </c>
      <c r="CK1" s="199" t="s">
        <v>725</v>
      </c>
      <c r="CL1" s="199" t="s">
        <v>726</v>
      </c>
      <c r="CM1" s="199" t="s">
        <v>727</v>
      </c>
      <c r="CN1" s="199" t="s">
        <v>728</v>
      </c>
      <c r="CO1" s="199" t="s">
        <v>729</v>
      </c>
      <c r="CP1" s="199" t="s">
        <v>730</v>
      </c>
      <c r="CQ1" s="199" t="s">
        <v>731</v>
      </c>
      <c r="CR1" s="199" t="s">
        <v>732</v>
      </c>
      <c r="CS1" s="199" t="s">
        <v>733</v>
      </c>
      <c r="CT1" s="199" t="s">
        <v>734</v>
      </c>
      <c r="CU1" s="199" t="s">
        <v>735</v>
      </c>
      <c r="CV1" s="199" t="s">
        <v>736</v>
      </c>
      <c r="CW1" s="199" t="s">
        <v>805</v>
      </c>
      <c r="CX1" s="199" t="s">
        <v>737</v>
      </c>
      <c r="CY1" s="199" t="s">
        <v>738</v>
      </c>
      <c r="CZ1" s="199" t="s">
        <v>739</v>
      </c>
      <c r="DA1" s="199" t="s">
        <v>740</v>
      </c>
      <c r="DB1" s="199" t="s">
        <v>741</v>
      </c>
      <c r="DC1" s="199" t="s">
        <v>742</v>
      </c>
      <c r="DD1" s="199" t="s">
        <v>743</v>
      </c>
      <c r="DE1" s="199" t="s">
        <v>744</v>
      </c>
      <c r="DF1" s="199" t="s">
        <v>745</v>
      </c>
      <c r="DG1" s="199" t="s">
        <v>746</v>
      </c>
      <c r="DH1" s="199" t="s">
        <v>747</v>
      </c>
      <c r="DI1" s="199" t="s">
        <v>748</v>
      </c>
      <c r="DJ1" s="199" t="s">
        <v>749</v>
      </c>
      <c r="DK1" s="199" t="s">
        <v>750</v>
      </c>
      <c r="DL1" s="199" t="s">
        <v>751</v>
      </c>
      <c r="DM1" s="199" t="s">
        <v>752</v>
      </c>
      <c r="DN1" s="199" t="s">
        <v>753</v>
      </c>
      <c r="DO1" s="199" t="s">
        <v>754</v>
      </c>
      <c r="DP1" s="199" t="s">
        <v>755</v>
      </c>
      <c r="DQ1" s="199" t="s">
        <v>756</v>
      </c>
      <c r="DR1" s="199" t="s">
        <v>757</v>
      </c>
      <c r="DS1" s="199" t="s">
        <v>758</v>
      </c>
      <c r="DT1" s="199" t="s">
        <v>759</v>
      </c>
      <c r="DU1" s="199" t="s">
        <v>760</v>
      </c>
      <c r="DV1" s="199" t="s">
        <v>761</v>
      </c>
      <c r="DW1" s="199" t="s">
        <v>762</v>
      </c>
      <c r="DX1" s="199" t="s">
        <v>763</v>
      </c>
      <c r="DY1" s="199" t="s">
        <v>806</v>
      </c>
      <c r="DZ1" s="199" t="s">
        <v>764</v>
      </c>
      <c r="EA1" s="199" t="s">
        <v>765</v>
      </c>
      <c r="EB1" s="199" t="s">
        <v>766</v>
      </c>
      <c r="EC1" s="199" t="s">
        <v>767</v>
      </c>
      <c r="ED1" s="199" t="s">
        <v>768</v>
      </c>
      <c r="EE1" s="199" t="s">
        <v>769</v>
      </c>
      <c r="EF1" s="199" t="s">
        <v>770</v>
      </c>
      <c r="EG1" s="199" t="s">
        <v>771</v>
      </c>
      <c r="EH1" s="199" t="s">
        <v>772</v>
      </c>
      <c r="EI1" s="199" t="s">
        <v>773</v>
      </c>
      <c r="EJ1" s="199" t="s">
        <v>774</v>
      </c>
      <c r="EK1" s="199" t="s">
        <v>775</v>
      </c>
      <c r="EL1" s="199" t="s">
        <v>776</v>
      </c>
      <c r="EM1" s="199" t="s">
        <v>777</v>
      </c>
      <c r="EN1" s="199" t="s">
        <v>778</v>
      </c>
      <c r="EO1" s="199" t="s">
        <v>807</v>
      </c>
      <c r="EP1" s="199" t="s">
        <v>808</v>
      </c>
      <c r="EQ1" s="199" t="s">
        <v>809</v>
      </c>
      <c r="ER1" s="199" t="s">
        <v>781</v>
      </c>
      <c r="ES1" s="199" t="s">
        <v>782</v>
      </c>
      <c r="ET1" s="199" t="s">
        <v>783</v>
      </c>
      <c r="EU1" s="199" t="s">
        <v>810</v>
      </c>
      <c r="EV1" s="199" t="s">
        <v>811</v>
      </c>
      <c r="EW1" s="199" t="s">
        <v>812</v>
      </c>
      <c r="EX1" s="199" t="s">
        <v>813</v>
      </c>
      <c r="EY1" s="199" t="s">
        <v>814</v>
      </c>
      <c r="EZ1" s="199" t="s">
        <v>815</v>
      </c>
      <c r="FA1" s="199" t="s">
        <v>816</v>
      </c>
      <c r="FB1" s="199" t="s">
        <v>817</v>
      </c>
      <c r="FC1" s="199" t="s">
        <v>818</v>
      </c>
      <c r="FD1" s="199" t="s">
        <v>819</v>
      </c>
      <c r="FE1" s="199" t="s">
        <v>820</v>
      </c>
      <c r="FF1" s="199" t="s">
        <v>821</v>
      </c>
      <c r="FG1" s="199" t="s">
        <v>822</v>
      </c>
      <c r="FH1" s="199" t="s">
        <v>823</v>
      </c>
      <c r="FI1" s="199" t="s">
        <v>824</v>
      </c>
      <c r="FJ1" s="199" t="s">
        <v>825</v>
      </c>
      <c r="FK1" s="199" t="s">
        <v>826</v>
      </c>
      <c r="FL1" s="199" t="s">
        <v>827</v>
      </c>
      <c r="FM1" s="199" t="s">
        <v>828</v>
      </c>
      <c r="FN1" s="199" t="s">
        <v>829</v>
      </c>
      <c r="FO1" s="199" t="s">
        <v>830</v>
      </c>
      <c r="FP1" s="199" t="s">
        <v>831</v>
      </c>
      <c r="FQ1" s="199" t="s">
        <v>832</v>
      </c>
      <c r="FR1" s="199" t="s">
        <v>833</v>
      </c>
      <c r="FS1" s="199" t="s">
        <v>834</v>
      </c>
      <c r="FT1" s="199" t="s">
        <v>835</v>
      </c>
      <c r="FU1" s="199" t="s">
        <v>836</v>
      </c>
      <c r="FV1" s="199" t="s">
        <v>837</v>
      </c>
      <c r="FW1" s="199" t="s">
        <v>838</v>
      </c>
      <c r="FX1" s="199" t="s">
        <v>839</v>
      </c>
      <c r="FY1" s="199" t="s">
        <v>840</v>
      </c>
      <c r="FZ1" s="199" t="s">
        <v>841</v>
      </c>
      <c r="GA1" s="199" t="s">
        <v>842</v>
      </c>
      <c r="GB1" s="199" t="s">
        <v>843</v>
      </c>
      <c r="GC1" s="199" t="s">
        <v>844</v>
      </c>
      <c r="GD1" s="199" t="s">
        <v>845</v>
      </c>
      <c r="GE1" s="199" t="s">
        <v>846</v>
      </c>
      <c r="GF1" s="199" t="s">
        <v>847</v>
      </c>
      <c r="GG1" s="199" t="s">
        <v>848</v>
      </c>
      <c r="GH1" s="199" t="s">
        <v>849</v>
      </c>
      <c r="GI1" s="199" t="s">
        <v>850</v>
      </c>
      <c r="GJ1" s="199" t="s">
        <v>851</v>
      </c>
      <c r="GK1" s="199" t="s">
        <v>852</v>
      </c>
      <c r="GL1" s="199" t="s">
        <v>853</v>
      </c>
      <c r="GM1" s="199" t="s">
        <v>854</v>
      </c>
      <c r="GN1" s="199" t="s">
        <v>855</v>
      </c>
      <c r="GO1" s="199" t="s">
        <v>856</v>
      </c>
      <c r="GP1" s="199" t="s">
        <v>857</v>
      </c>
      <c r="GQ1" s="199" t="s">
        <v>858</v>
      </c>
      <c r="GR1" s="199" t="s">
        <v>859</v>
      </c>
      <c r="GS1" s="199" t="s">
        <v>860</v>
      </c>
      <c r="GT1" s="199" t="s">
        <v>861</v>
      </c>
      <c r="GU1" s="199" t="s">
        <v>862</v>
      </c>
      <c r="GV1" s="199" t="s">
        <v>863</v>
      </c>
      <c r="GW1" s="199" t="s">
        <v>864</v>
      </c>
      <c r="GX1" s="199" t="s">
        <v>865</v>
      </c>
      <c r="GY1" s="199" t="s">
        <v>866</v>
      </c>
      <c r="GZ1" s="199" t="s">
        <v>867</v>
      </c>
      <c r="HA1" s="199" t="s">
        <v>868</v>
      </c>
      <c r="HB1" s="199" t="s">
        <v>869</v>
      </c>
      <c r="HC1" s="199" t="s">
        <v>870</v>
      </c>
      <c r="HD1" s="199" t="s">
        <v>871</v>
      </c>
      <c r="HE1" s="199" t="s">
        <v>872</v>
      </c>
      <c r="HF1" s="199" t="s">
        <v>873</v>
      </c>
      <c r="HG1" s="199" t="s">
        <v>874</v>
      </c>
      <c r="HH1" s="199" t="s">
        <v>875</v>
      </c>
      <c r="HI1" s="199" t="s">
        <v>779</v>
      </c>
      <c r="HJ1" s="199" t="s">
        <v>780</v>
      </c>
      <c r="HK1" s="199" t="s">
        <v>876</v>
      </c>
      <c r="HL1" s="199" t="s">
        <v>877</v>
      </c>
      <c r="HM1" s="156" t="s">
        <v>878</v>
      </c>
      <c r="HN1" s="199" t="s">
        <v>879</v>
      </c>
      <c r="HO1" s="199" t="s">
        <v>880</v>
      </c>
      <c r="HP1" s="199" t="s">
        <v>881</v>
      </c>
      <c r="HQ1" s="199" t="s">
        <v>882</v>
      </c>
      <c r="HR1" s="199" t="s">
        <v>883</v>
      </c>
      <c r="HS1" s="199" t="s">
        <v>884</v>
      </c>
      <c r="HT1" s="199" t="s">
        <v>885</v>
      </c>
      <c r="HU1" s="199" t="s">
        <v>886</v>
      </c>
    </row>
    <row r="2" spans="1:229" ht="26">
      <c r="A2" s="158">
        <v>1</v>
      </c>
      <c r="B2" s="159" t="s">
        <v>161</v>
      </c>
      <c r="C2" s="160" t="s">
        <v>287</v>
      </c>
      <c r="D2" s="160" t="s">
        <v>87</v>
      </c>
      <c r="E2" s="159" t="s">
        <v>784</v>
      </c>
      <c r="F2" s="159" t="s">
        <v>784</v>
      </c>
      <c r="G2" s="159"/>
      <c r="H2" s="161">
        <v>6976.2333333333336</v>
      </c>
      <c r="I2" s="161">
        <v>1584.7277777777779</v>
      </c>
      <c r="J2" s="161">
        <v>8560.9611111111117</v>
      </c>
      <c r="K2" s="162">
        <v>5738</v>
      </c>
      <c r="L2" s="162">
        <v>37703</v>
      </c>
      <c r="M2" s="162">
        <v>13519</v>
      </c>
      <c r="N2" s="162">
        <v>27706</v>
      </c>
      <c r="O2" s="162">
        <v>84666</v>
      </c>
      <c r="P2" s="162">
        <v>78928</v>
      </c>
      <c r="Q2" s="162">
        <v>56960</v>
      </c>
      <c r="R2" s="162">
        <v>1484</v>
      </c>
      <c r="S2" s="160">
        <v>5611.583333333333</v>
      </c>
      <c r="T2" s="160">
        <v>6203.1555555555551</v>
      </c>
      <c r="U2" s="160">
        <v>6133.1611111111115</v>
      </c>
      <c r="V2" s="160">
        <v>6039.7777777777774</v>
      </c>
      <c r="W2" s="160">
        <v>6224.9888888888891</v>
      </c>
      <c r="X2" s="160">
        <v>6179.3888888888887</v>
      </c>
      <c r="Y2" s="160">
        <v>6201.1333333333332</v>
      </c>
      <c r="Z2" s="160">
        <v>6599.9444444444443</v>
      </c>
      <c r="AA2" s="160">
        <v>6694.3444444444449</v>
      </c>
      <c r="AB2" s="160">
        <v>6778.8611111111113</v>
      </c>
      <c r="AC2" s="160">
        <v>7091.3555555555558</v>
      </c>
      <c r="AD2" s="160">
        <v>6596.416666666667</v>
      </c>
      <c r="AE2" s="160">
        <v>5788.6944444444443</v>
      </c>
      <c r="AF2" s="160">
        <v>36981.60555555555</v>
      </c>
      <c r="AG2" s="160">
        <v>13294.288888888888</v>
      </c>
      <c r="AH2" s="160">
        <v>26255.32777777778</v>
      </c>
      <c r="AI2" s="160">
        <v>55887.477777777778</v>
      </c>
      <c r="AJ2" s="160">
        <v>76531.222222222219</v>
      </c>
      <c r="AK2" s="160">
        <v>82142.805555555547</v>
      </c>
      <c r="AL2" s="161">
        <v>7415.7333333333336</v>
      </c>
      <c r="AM2" s="161">
        <v>1644.0555555555557</v>
      </c>
      <c r="AN2" s="161">
        <v>9059.7888888888883</v>
      </c>
      <c r="AO2" s="161">
        <v>83786.861111111109</v>
      </c>
      <c r="AP2" s="162">
        <v>5514</v>
      </c>
      <c r="AQ2" s="162">
        <v>5789</v>
      </c>
      <c r="AR2" s="160">
        <v>6303</v>
      </c>
      <c r="AS2" s="160">
        <v>6262</v>
      </c>
      <c r="AT2" s="160">
        <v>6151</v>
      </c>
      <c r="AU2" s="160">
        <v>6391</v>
      </c>
      <c r="AV2" s="160">
        <v>6333</v>
      </c>
      <c r="AW2" s="160">
        <v>6727</v>
      </c>
      <c r="AX2" s="160">
        <v>6839</v>
      </c>
      <c r="AY2" s="160">
        <v>6960</v>
      </c>
      <c r="AZ2" s="160">
        <v>7302</v>
      </c>
      <c r="BA2" s="160">
        <v>7272</v>
      </c>
      <c r="BB2" s="160">
        <v>6867</v>
      </c>
      <c r="BC2" s="160">
        <v>37229</v>
      </c>
      <c r="BD2" s="160">
        <v>13566</v>
      </c>
      <c r="BE2" s="160">
        <v>28401</v>
      </c>
      <c r="BF2" s="160">
        <v>56309</v>
      </c>
      <c r="BG2" s="160">
        <v>79196</v>
      </c>
      <c r="BH2" s="160">
        <v>84710</v>
      </c>
      <c r="BI2" s="160">
        <v>2456</v>
      </c>
      <c r="BJ2" s="160">
        <v>3058</v>
      </c>
      <c r="BK2" s="160">
        <v>50</v>
      </c>
      <c r="BL2" s="160">
        <v>18369</v>
      </c>
      <c r="BM2" s="160">
        <v>7750</v>
      </c>
      <c r="BN2" s="162">
        <v>1707</v>
      </c>
      <c r="BO2" s="162">
        <v>9457</v>
      </c>
      <c r="BP2" s="162">
        <v>4859</v>
      </c>
      <c r="BQ2" s="163">
        <v>8.2795504515801921E-2</v>
      </c>
      <c r="BR2" s="164">
        <v>4244.2670000000026</v>
      </c>
      <c r="BS2" s="164">
        <v>4031.267000000003</v>
      </c>
      <c r="BT2" s="164">
        <v>3763.1393800000001</v>
      </c>
      <c r="BU2" s="164">
        <v>4153.4163800000133</v>
      </c>
      <c r="BV2" s="165">
        <v>251</v>
      </c>
      <c r="BW2" s="165">
        <v>26</v>
      </c>
      <c r="BX2" s="166">
        <v>1686.7833330000001</v>
      </c>
      <c r="BY2" s="166">
        <v>2930.144444</v>
      </c>
      <c r="BZ2" s="166">
        <v>2450.6888880000001</v>
      </c>
      <c r="CA2" s="166">
        <v>5380.833333333333</v>
      </c>
      <c r="CB2" s="166">
        <v>5702.3055555555557</v>
      </c>
      <c r="CC2" s="166">
        <v>6176.4833333333336</v>
      </c>
      <c r="CD2" s="166">
        <v>6127.5</v>
      </c>
      <c r="CE2" s="166">
        <v>6026.8444444444449</v>
      </c>
      <c r="CF2" s="166">
        <v>6270.3666666666668</v>
      </c>
      <c r="CG2" s="166">
        <v>6217.7</v>
      </c>
      <c r="CH2" s="166">
        <v>6604.7555555555555</v>
      </c>
      <c r="CI2" s="166">
        <v>6719.7722222222219</v>
      </c>
      <c r="CJ2" s="166">
        <v>6810.4555555555553</v>
      </c>
      <c r="CK2" s="166">
        <v>7122.7333333333336</v>
      </c>
      <c r="CL2" s="166">
        <v>7028.8388888888885</v>
      </c>
      <c r="CM2" s="166">
        <v>5858.8055555555557</v>
      </c>
      <c r="CN2" s="166">
        <v>36521.199999999997</v>
      </c>
      <c r="CO2" s="166">
        <v>13324.527777777777</v>
      </c>
      <c r="CP2" s="166">
        <v>26820.833333333332</v>
      </c>
      <c r="CQ2" s="166">
        <v>55226.561111111107</v>
      </c>
      <c r="CR2" s="166">
        <v>76666.561111111121</v>
      </c>
      <c r="CS2" s="166">
        <v>82047.39444444445</v>
      </c>
      <c r="CT2" s="166">
        <v>7661.65</v>
      </c>
      <c r="CU2" s="166">
        <v>1690.6055555555599</v>
      </c>
      <c r="CV2" s="166">
        <v>9352.2555555555591</v>
      </c>
      <c r="CW2" s="166">
        <v>83738.000000000015</v>
      </c>
      <c r="CX2" s="166">
        <v>1734.572222</v>
      </c>
      <c r="CY2" s="166">
        <v>5171</v>
      </c>
      <c r="CZ2" s="165">
        <v>264</v>
      </c>
      <c r="DA2" s="165">
        <v>5435</v>
      </c>
      <c r="DB2" s="165">
        <v>5655</v>
      </c>
      <c r="DC2" s="165">
        <v>5877</v>
      </c>
      <c r="DD2" s="165">
        <v>6358</v>
      </c>
      <c r="DE2" s="165">
        <v>6326</v>
      </c>
      <c r="DF2" s="165">
        <v>6248</v>
      </c>
      <c r="DG2" s="165">
        <v>6522</v>
      </c>
      <c r="DH2" s="165">
        <v>6847</v>
      </c>
      <c r="DI2" s="165">
        <v>6832</v>
      </c>
      <c r="DJ2" s="165">
        <v>6942</v>
      </c>
      <c r="DK2" s="165">
        <v>7223</v>
      </c>
      <c r="DL2" s="165">
        <v>7251</v>
      </c>
      <c r="DM2" s="165">
        <v>7241</v>
      </c>
      <c r="DN2" s="165">
        <v>36986</v>
      </c>
      <c r="DO2" s="165">
        <v>13679</v>
      </c>
      <c r="DP2" s="165">
        <v>28657</v>
      </c>
      <c r="DQ2" s="165">
        <v>56100</v>
      </c>
      <c r="DR2" s="165">
        <v>79322</v>
      </c>
      <c r="DS2" s="165">
        <v>84757</v>
      </c>
      <c r="DT2" s="165">
        <v>58</v>
      </c>
      <c r="DU2" s="165">
        <v>16760</v>
      </c>
      <c r="DV2" s="165">
        <v>7822</v>
      </c>
      <c r="DW2" s="165">
        <v>1736</v>
      </c>
      <c r="DX2" s="165">
        <v>9558</v>
      </c>
      <c r="DY2" s="165">
        <v>86493</v>
      </c>
      <c r="DZ2" s="165">
        <v>4917</v>
      </c>
      <c r="EA2" s="166">
        <v>4326.7520000000031</v>
      </c>
      <c r="EB2" s="166">
        <v>4113.7519999999968</v>
      </c>
      <c r="EC2" s="166">
        <v>1890.559</v>
      </c>
      <c r="ED2" s="166">
        <v>1669.7139999999977</v>
      </c>
      <c r="EE2" s="166">
        <v>9.3330000000000002</v>
      </c>
      <c r="EF2" s="166">
        <v>4396.8380000000143</v>
      </c>
      <c r="EG2" s="167">
        <v>8.476733678353332E-2</v>
      </c>
      <c r="EH2" s="165"/>
      <c r="EI2" s="165">
        <v>5380</v>
      </c>
      <c r="EJ2" s="165">
        <v>78520</v>
      </c>
      <c r="EK2" s="165"/>
      <c r="EL2" s="165"/>
      <c r="EM2" s="166"/>
      <c r="EN2" s="165">
        <v>83900</v>
      </c>
      <c r="EO2" s="165">
        <v>1113</v>
      </c>
      <c r="EP2" s="165">
        <v>9587</v>
      </c>
      <c r="EQ2" s="165">
        <v>10700</v>
      </c>
      <c r="ER2" s="165">
        <v>7854</v>
      </c>
      <c r="ES2" s="165">
        <v>1733</v>
      </c>
      <c r="ET2" s="165">
        <v>330</v>
      </c>
      <c r="EU2" s="166">
        <v>11.625</v>
      </c>
      <c r="EV2" s="166">
        <v>73</v>
      </c>
      <c r="EW2" s="166">
        <v>182.72</v>
      </c>
      <c r="EX2" s="166">
        <v>149.30000000000001</v>
      </c>
      <c r="EY2" s="166">
        <v>260.93799999999999</v>
      </c>
      <c r="EZ2" s="166">
        <v>677.58300000000008</v>
      </c>
      <c r="FA2" s="166">
        <v>225.15555555555557</v>
      </c>
      <c r="FB2" s="166">
        <v>5075.9666666666662</v>
      </c>
      <c r="FC2" s="166">
        <v>5301.1222222222223</v>
      </c>
      <c r="FD2" s="166">
        <v>5496.8888888888887</v>
      </c>
      <c r="FE2" s="166">
        <v>5755.9388888888889</v>
      </c>
      <c r="FF2" s="166">
        <v>6227.2111111111108</v>
      </c>
      <c r="FG2" s="166">
        <v>6204.5722222222221</v>
      </c>
      <c r="FH2" s="166">
        <v>6120.166666666667</v>
      </c>
      <c r="FI2" s="166">
        <v>6401.0388888888892</v>
      </c>
      <c r="FJ2" s="166">
        <v>6678.9666666666662</v>
      </c>
      <c r="FK2" s="166">
        <v>6686.2055555555553</v>
      </c>
      <c r="FL2" s="166">
        <v>6791.1888888888889</v>
      </c>
      <c r="FM2" s="166">
        <v>7064.7944444444447</v>
      </c>
      <c r="FN2" s="166">
        <v>7039.8611111111113</v>
      </c>
      <c r="FO2" s="166">
        <v>6166.8833333333332</v>
      </c>
      <c r="FP2" s="166">
        <v>36205.816666666666</v>
      </c>
      <c r="FQ2" s="166">
        <v>13365.172222222222</v>
      </c>
      <c r="FR2" s="166">
        <v>27062.727777777778</v>
      </c>
      <c r="FS2" s="166">
        <v>54872.111111111117</v>
      </c>
      <c r="FT2" s="166">
        <v>76633.71666666666</v>
      </c>
      <c r="FU2" s="166">
        <v>81934.838888888888</v>
      </c>
      <c r="FV2" s="166">
        <v>7829.1222222222223</v>
      </c>
      <c r="FW2" s="166">
        <v>1725.2666666666667</v>
      </c>
      <c r="FX2" s="166">
        <v>9554.3888888888887</v>
      </c>
      <c r="FY2" s="166">
        <v>83660.10555555555</v>
      </c>
      <c r="FZ2" s="165">
        <v>757</v>
      </c>
      <c r="GA2" s="165">
        <v>4699</v>
      </c>
      <c r="GB2" s="165">
        <v>5456</v>
      </c>
      <c r="GC2" s="165">
        <v>5501</v>
      </c>
      <c r="GD2" s="165">
        <v>5626</v>
      </c>
      <c r="GE2" s="165">
        <v>5954</v>
      </c>
      <c r="GF2" s="165">
        <v>6383</v>
      </c>
      <c r="GG2" s="165">
        <v>6354</v>
      </c>
      <c r="GH2" s="165">
        <v>6287</v>
      </c>
      <c r="GI2" s="165">
        <v>7039</v>
      </c>
      <c r="GJ2" s="165">
        <v>6859</v>
      </c>
      <c r="GK2" s="165">
        <v>6919</v>
      </c>
      <c r="GL2" s="165">
        <v>7259</v>
      </c>
      <c r="GM2" s="165">
        <v>7249</v>
      </c>
      <c r="GN2" s="165">
        <v>7329</v>
      </c>
      <c r="GO2" s="165">
        <v>36105</v>
      </c>
      <c r="GP2" s="165">
        <v>13898</v>
      </c>
      <c r="GQ2" s="165">
        <v>28756</v>
      </c>
      <c r="GR2" s="165">
        <v>55459</v>
      </c>
      <c r="GS2" s="165">
        <v>78759</v>
      </c>
      <c r="GT2" s="165">
        <v>84215</v>
      </c>
      <c r="GU2" s="165">
        <v>50</v>
      </c>
      <c r="GV2" s="165">
        <v>16670</v>
      </c>
      <c r="GW2" s="165">
        <v>8046</v>
      </c>
      <c r="GX2" s="165">
        <v>1769</v>
      </c>
      <c r="GY2" s="165">
        <v>9815</v>
      </c>
      <c r="GZ2" s="165">
        <v>85984</v>
      </c>
      <c r="HA2" s="165">
        <v>4849</v>
      </c>
      <c r="HB2" s="166">
        <v>4371.0910000000013</v>
      </c>
      <c r="HC2" s="166">
        <v>4145.0909999999913</v>
      </c>
      <c r="HD2" s="166">
        <v>1914.4479999999996</v>
      </c>
      <c r="HE2" s="166">
        <v>1686.1069999999943</v>
      </c>
      <c r="HF2" s="166"/>
      <c r="HG2" s="166">
        <v>4411.2129999999997</v>
      </c>
      <c r="HH2" s="166">
        <v>981</v>
      </c>
      <c r="HI2" s="166">
        <v>9810</v>
      </c>
      <c r="HJ2" s="166">
        <v>10791</v>
      </c>
      <c r="HK2" s="166">
        <v>8076</v>
      </c>
      <c r="HL2" s="166">
        <v>1734</v>
      </c>
      <c r="HM2" s="166">
        <v>301</v>
      </c>
      <c r="HN2" s="166">
        <v>5377</v>
      </c>
      <c r="HO2" s="166">
        <v>77623</v>
      </c>
      <c r="HP2" s="166">
        <v>0</v>
      </c>
      <c r="HQ2" s="166">
        <v>0</v>
      </c>
      <c r="HR2" s="166">
        <v>0</v>
      </c>
      <c r="HS2" s="166">
        <v>83000</v>
      </c>
      <c r="HT2" s="166">
        <f>FY26_FE_Data_April15[[#This Row],[Oct 1, 2026 (CDC) - K]]+FY26_FE_Data_April15[[#This Row],[Oct 1, 2026 (CDC) - Grades 1-6]]+FY26_FE_Data_April15[[#This Row],[Oct 1, 2026 (CDC) - Grades 7-8]]</f>
        <v>5377</v>
      </c>
      <c r="HU2" s="166">
        <v>1765.572222</v>
      </c>
    </row>
    <row r="3" spans="1:229" ht="26">
      <c r="A3" s="158">
        <v>2</v>
      </c>
      <c r="B3" s="159" t="s">
        <v>171</v>
      </c>
      <c r="C3" s="160" t="s">
        <v>288</v>
      </c>
      <c r="D3" s="160" t="s">
        <v>87</v>
      </c>
      <c r="E3" s="159" t="s">
        <v>784</v>
      </c>
      <c r="F3" s="159" t="s">
        <v>784</v>
      </c>
      <c r="G3" s="159"/>
      <c r="H3" s="161">
        <v>201.9</v>
      </c>
      <c r="I3" s="161">
        <v>19.711111111111112</v>
      </c>
      <c r="J3" s="161">
        <v>221.61111111111111</v>
      </c>
      <c r="K3" s="162">
        <v>102</v>
      </c>
      <c r="L3" s="162">
        <v>672</v>
      </c>
      <c r="M3" s="162">
        <v>247</v>
      </c>
      <c r="N3" s="162">
        <v>486</v>
      </c>
      <c r="O3" s="162">
        <v>1507</v>
      </c>
      <c r="P3" s="162">
        <v>1405</v>
      </c>
      <c r="Q3" s="162">
        <v>1021</v>
      </c>
      <c r="R3" s="162">
        <v>21</v>
      </c>
      <c r="S3" s="160">
        <v>102.63888888888889</v>
      </c>
      <c r="T3" s="160">
        <v>117.03888888888889</v>
      </c>
      <c r="U3" s="160">
        <v>105.44444444444444</v>
      </c>
      <c r="V3" s="160">
        <v>111.28888888888889</v>
      </c>
      <c r="W3" s="160">
        <v>114.83333333333333</v>
      </c>
      <c r="X3" s="160">
        <v>109.15555555555555</v>
      </c>
      <c r="Y3" s="160">
        <v>108.29444444444445</v>
      </c>
      <c r="Z3" s="160">
        <v>128.25555555555556</v>
      </c>
      <c r="AA3" s="160">
        <v>114.07222222222222</v>
      </c>
      <c r="AB3" s="160">
        <v>138.60555555555555</v>
      </c>
      <c r="AC3" s="160">
        <v>101.6</v>
      </c>
      <c r="AD3" s="160">
        <v>106.8</v>
      </c>
      <c r="AE3" s="160">
        <v>110.68333333333334</v>
      </c>
      <c r="AF3" s="160">
        <v>666.05555555555554</v>
      </c>
      <c r="AG3" s="160">
        <v>242.32777777777778</v>
      </c>
      <c r="AH3" s="160">
        <v>457.68888888888887</v>
      </c>
      <c r="AI3" s="160">
        <v>1011.0222222222222</v>
      </c>
      <c r="AJ3" s="160">
        <v>1366.0722222222221</v>
      </c>
      <c r="AK3" s="160">
        <v>1468.711111111111</v>
      </c>
      <c r="AL3" s="161">
        <v>208.84444444444443</v>
      </c>
      <c r="AM3" s="161">
        <v>20.805555555555557</v>
      </c>
      <c r="AN3" s="161">
        <v>229.64999999999998</v>
      </c>
      <c r="AO3" s="161">
        <v>1489.5166666666667</v>
      </c>
      <c r="AP3" s="162">
        <v>102</v>
      </c>
      <c r="AQ3" s="168">
        <v>103</v>
      </c>
      <c r="AR3" s="160">
        <v>121</v>
      </c>
      <c r="AS3" s="160">
        <v>107</v>
      </c>
      <c r="AT3" s="160">
        <v>114</v>
      </c>
      <c r="AU3" s="160">
        <v>115</v>
      </c>
      <c r="AV3" s="160">
        <v>112</v>
      </c>
      <c r="AW3" s="160">
        <v>110</v>
      </c>
      <c r="AX3" s="160">
        <v>127</v>
      </c>
      <c r="AY3" s="160">
        <v>115</v>
      </c>
      <c r="AZ3" s="160">
        <v>139</v>
      </c>
      <c r="BA3" s="160">
        <v>97</v>
      </c>
      <c r="BB3" s="160">
        <v>106</v>
      </c>
      <c r="BC3" s="160">
        <v>672</v>
      </c>
      <c r="BD3" s="160">
        <v>237</v>
      </c>
      <c r="BE3" s="160">
        <v>457</v>
      </c>
      <c r="BF3" s="160">
        <v>1011</v>
      </c>
      <c r="BG3" s="160">
        <v>1366</v>
      </c>
      <c r="BH3" s="160">
        <v>1468</v>
      </c>
      <c r="BI3" s="160">
        <v>100</v>
      </c>
      <c r="BJ3" s="160">
        <v>2</v>
      </c>
      <c r="BK3" s="160">
        <v>0</v>
      </c>
      <c r="BL3" s="160">
        <v>738</v>
      </c>
      <c r="BM3" s="160">
        <v>205</v>
      </c>
      <c r="BN3" s="162">
        <v>16</v>
      </c>
      <c r="BO3" s="162">
        <v>221</v>
      </c>
      <c r="BP3" s="162">
        <v>28</v>
      </c>
      <c r="BQ3" s="163">
        <v>8.3648213239601643E-2</v>
      </c>
      <c r="BR3" s="164">
        <v>94.15</v>
      </c>
      <c r="BS3" s="164">
        <v>89.520000000000024</v>
      </c>
      <c r="BT3" s="164">
        <v>88.52000000000001</v>
      </c>
      <c r="BU3" s="164">
        <v>95.15</v>
      </c>
      <c r="BV3" s="165">
        <v>92</v>
      </c>
      <c r="BW3" s="165">
        <v>66</v>
      </c>
      <c r="BX3" s="166">
        <v>106.805555</v>
      </c>
      <c r="BY3" s="166">
        <v>0.62777700000000003</v>
      </c>
      <c r="BZ3" s="166">
        <v>100.538888</v>
      </c>
      <c r="CA3" s="166">
        <v>101.16666666666667</v>
      </c>
      <c r="CB3" s="166">
        <v>101.04444444444445</v>
      </c>
      <c r="CC3" s="166">
        <v>119.33333333333333</v>
      </c>
      <c r="CD3" s="166">
        <v>106.80555555555556</v>
      </c>
      <c r="CE3" s="166">
        <v>112.35</v>
      </c>
      <c r="CF3" s="166">
        <v>115.41111111111111</v>
      </c>
      <c r="CG3" s="166">
        <v>107.11111111111111</v>
      </c>
      <c r="CH3" s="166">
        <v>107.79444444444445</v>
      </c>
      <c r="CI3" s="166">
        <v>127.25</v>
      </c>
      <c r="CJ3" s="166">
        <v>110.36111111111111</v>
      </c>
      <c r="CK3" s="166">
        <v>136.5</v>
      </c>
      <c r="CL3" s="166">
        <v>93.13333333333334</v>
      </c>
      <c r="CM3" s="166">
        <v>95.266666666666666</v>
      </c>
      <c r="CN3" s="166">
        <v>662.05555555555554</v>
      </c>
      <c r="CO3" s="166">
        <v>235.04444444444445</v>
      </c>
      <c r="CP3" s="166">
        <v>435.26111111111112</v>
      </c>
      <c r="CQ3" s="166">
        <v>998.26666666666665</v>
      </c>
      <c r="CR3" s="166">
        <v>1332.3611111111113</v>
      </c>
      <c r="CS3" s="166">
        <v>1433.5277777777778</v>
      </c>
      <c r="CT3" s="166">
        <v>211.183333333333</v>
      </c>
      <c r="CU3" s="166">
        <v>16.505555555555599</v>
      </c>
      <c r="CV3" s="166">
        <v>227.68888888888858</v>
      </c>
      <c r="CW3" s="166">
        <v>1450.0333333333335</v>
      </c>
      <c r="CX3" s="166">
        <v>0</v>
      </c>
      <c r="CY3" s="166">
        <v>95</v>
      </c>
      <c r="CZ3" s="165">
        <v>1</v>
      </c>
      <c r="DA3" s="165">
        <v>96</v>
      </c>
      <c r="DB3" s="165">
        <v>98</v>
      </c>
      <c r="DC3" s="165">
        <v>106</v>
      </c>
      <c r="DD3" s="165">
        <v>119</v>
      </c>
      <c r="DE3" s="165">
        <v>113</v>
      </c>
      <c r="DF3" s="165">
        <v>110</v>
      </c>
      <c r="DG3" s="165">
        <v>115</v>
      </c>
      <c r="DH3" s="165">
        <v>111</v>
      </c>
      <c r="DI3" s="165">
        <v>105</v>
      </c>
      <c r="DJ3" s="165">
        <v>129</v>
      </c>
      <c r="DK3" s="165">
        <v>108</v>
      </c>
      <c r="DL3" s="165">
        <v>135</v>
      </c>
      <c r="DM3" s="165">
        <v>89</v>
      </c>
      <c r="DN3" s="165">
        <v>661</v>
      </c>
      <c r="DO3" s="165">
        <v>216</v>
      </c>
      <c r="DP3" s="165">
        <v>461</v>
      </c>
      <c r="DQ3" s="165">
        <v>973</v>
      </c>
      <c r="DR3" s="165">
        <v>1338</v>
      </c>
      <c r="DS3" s="165">
        <v>1434</v>
      </c>
      <c r="DT3" s="165">
        <v>0</v>
      </c>
      <c r="DU3" s="165">
        <v>663</v>
      </c>
      <c r="DV3" s="165">
        <v>207</v>
      </c>
      <c r="DW3" s="165">
        <v>20</v>
      </c>
      <c r="DX3" s="165">
        <v>227</v>
      </c>
      <c r="DY3" s="165">
        <v>1454</v>
      </c>
      <c r="DZ3" s="165">
        <v>23</v>
      </c>
      <c r="EA3" s="166">
        <v>95.4</v>
      </c>
      <c r="EB3" s="166">
        <v>90.780000000000015</v>
      </c>
      <c r="EC3" s="166">
        <v>46.285999999999994</v>
      </c>
      <c r="ED3" s="166">
        <v>33.961000000000006</v>
      </c>
      <c r="EE3" s="166">
        <v>0</v>
      </c>
      <c r="EF3" s="166">
        <v>98.632999999999981</v>
      </c>
      <c r="EG3" s="167">
        <v>8.4503108757383427E-2</v>
      </c>
      <c r="EH3" s="165"/>
      <c r="EI3" s="165">
        <v>95</v>
      </c>
      <c r="EJ3" s="165">
        <v>1325</v>
      </c>
      <c r="EK3" s="165"/>
      <c r="EL3" s="165"/>
      <c r="EM3" s="166"/>
      <c r="EN3" s="165">
        <v>1420</v>
      </c>
      <c r="EO3" s="165">
        <v>22</v>
      </c>
      <c r="EP3" s="165">
        <v>236</v>
      </c>
      <c r="EQ3" s="165">
        <v>258</v>
      </c>
      <c r="ER3" s="165">
        <v>215</v>
      </c>
      <c r="ES3" s="165">
        <v>21</v>
      </c>
      <c r="ET3" s="165">
        <v>34</v>
      </c>
      <c r="EU3" s="166">
        <v>42.12</v>
      </c>
      <c r="EV3" s="166">
        <v>4.54</v>
      </c>
      <c r="EW3" s="166">
        <v>6.5</v>
      </c>
      <c r="EX3" s="166">
        <v>2</v>
      </c>
      <c r="EY3" s="166">
        <v>24.5</v>
      </c>
      <c r="EZ3" s="166">
        <v>79.66</v>
      </c>
      <c r="FA3" s="166">
        <v>2</v>
      </c>
      <c r="FB3" s="166">
        <v>89.816666666666663</v>
      </c>
      <c r="FC3" s="166">
        <v>91.816666666666663</v>
      </c>
      <c r="FD3" s="166">
        <v>97.566666666666663</v>
      </c>
      <c r="FE3" s="166">
        <v>106.95</v>
      </c>
      <c r="FF3" s="166">
        <v>116.17222222222222</v>
      </c>
      <c r="FG3" s="166">
        <v>109.43333333333334</v>
      </c>
      <c r="FH3" s="166">
        <v>110.6</v>
      </c>
      <c r="FI3" s="166">
        <v>114.27777777777777</v>
      </c>
      <c r="FJ3" s="166">
        <v>105.51111111111111</v>
      </c>
      <c r="FK3" s="166">
        <v>102.93333333333334</v>
      </c>
      <c r="FL3" s="166">
        <v>126.78333333333333</v>
      </c>
      <c r="FM3" s="166">
        <v>102.12777777777778</v>
      </c>
      <c r="FN3" s="166">
        <v>128.05000000000001</v>
      </c>
      <c r="FO3" s="166">
        <v>83.61666666666666</v>
      </c>
      <c r="FP3" s="166">
        <v>655</v>
      </c>
      <c r="FQ3" s="166">
        <v>208.44444444444446</v>
      </c>
      <c r="FR3" s="166">
        <v>440.57777777777778</v>
      </c>
      <c r="FS3" s="166">
        <v>955.26111111111095</v>
      </c>
      <c r="FT3" s="166">
        <v>1304.0222222222219</v>
      </c>
      <c r="FU3" s="166">
        <v>1395.8388888888885</v>
      </c>
      <c r="FV3" s="166">
        <v>216.81666666666666</v>
      </c>
      <c r="FW3" s="166">
        <v>21.15</v>
      </c>
      <c r="FX3" s="166">
        <v>237.96666666666667</v>
      </c>
      <c r="FY3" s="166">
        <v>1416.9888888888886</v>
      </c>
      <c r="FZ3" s="165">
        <v>0</v>
      </c>
      <c r="GA3" s="165">
        <v>89</v>
      </c>
      <c r="GB3" s="165">
        <v>89</v>
      </c>
      <c r="GC3" s="165">
        <v>93</v>
      </c>
      <c r="GD3" s="165">
        <v>105</v>
      </c>
      <c r="GE3" s="165">
        <v>108</v>
      </c>
      <c r="GF3" s="165">
        <v>117</v>
      </c>
      <c r="GG3" s="165">
        <v>120</v>
      </c>
      <c r="GH3" s="165">
        <v>117</v>
      </c>
      <c r="GI3" s="165">
        <v>121</v>
      </c>
      <c r="GJ3" s="165">
        <v>109</v>
      </c>
      <c r="GK3" s="165">
        <v>107</v>
      </c>
      <c r="GL3" s="165">
        <v>126</v>
      </c>
      <c r="GM3" s="165">
        <v>102</v>
      </c>
      <c r="GN3" s="165">
        <v>138</v>
      </c>
      <c r="GO3" s="165">
        <v>660</v>
      </c>
      <c r="GP3" s="165">
        <v>230</v>
      </c>
      <c r="GQ3" s="165">
        <v>473</v>
      </c>
      <c r="GR3" s="165">
        <v>979</v>
      </c>
      <c r="GS3" s="165">
        <v>1363</v>
      </c>
      <c r="GT3" s="165">
        <v>1452</v>
      </c>
      <c r="GU3" s="165">
        <v>0</v>
      </c>
      <c r="GV3" s="165">
        <v>675</v>
      </c>
      <c r="GW3" s="165">
        <v>232</v>
      </c>
      <c r="GX3" s="165">
        <v>22</v>
      </c>
      <c r="GY3" s="165">
        <v>254</v>
      </c>
      <c r="GZ3" s="165">
        <v>1474</v>
      </c>
      <c r="HA3" s="165">
        <v>21</v>
      </c>
      <c r="HB3" s="166">
        <v>95.203000000000017</v>
      </c>
      <c r="HC3" s="166">
        <v>90.583000000000027</v>
      </c>
      <c r="HD3" s="166">
        <v>46.16599999999999</v>
      </c>
      <c r="HE3" s="166">
        <v>35.021999999999998</v>
      </c>
      <c r="HF3" s="166"/>
      <c r="HG3" s="166">
        <v>99.433000000000007</v>
      </c>
      <c r="HH3" s="166">
        <v>19</v>
      </c>
      <c r="HI3" s="166">
        <v>262</v>
      </c>
      <c r="HJ3" s="166">
        <v>281</v>
      </c>
      <c r="HK3" s="166">
        <v>239</v>
      </c>
      <c r="HL3" s="166">
        <v>23</v>
      </c>
      <c r="HM3" s="166">
        <v>27</v>
      </c>
      <c r="HN3" s="166">
        <v>87</v>
      </c>
      <c r="HO3" s="166">
        <v>1332</v>
      </c>
      <c r="HP3" s="166">
        <v>0</v>
      </c>
      <c r="HQ3" s="166">
        <v>0</v>
      </c>
      <c r="HR3" s="166">
        <v>0</v>
      </c>
      <c r="HS3" s="166">
        <v>1419</v>
      </c>
      <c r="HT3" s="166">
        <f>FY26_FE_Data_April15[[#This Row],[Oct 1, 2026 (CDC) - K]]+FY26_FE_Data_April15[[#This Row],[Oct 1, 2026 (CDC) - Grades 1-6]]+FY26_FE_Data_April15[[#This Row],[Oct 1, 2026 (CDC) - Grades 7-8]]</f>
        <v>87</v>
      </c>
      <c r="HU3" s="166">
        <v>0</v>
      </c>
    </row>
    <row r="4" spans="1:229" ht="26">
      <c r="A4" s="158">
        <v>3</v>
      </c>
      <c r="B4" s="159" t="s">
        <v>181</v>
      </c>
      <c r="C4" s="160" t="s">
        <v>289</v>
      </c>
      <c r="D4" s="160" t="s">
        <v>87</v>
      </c>
      <c r="E4" s="159" t="s">
        <v>784</v>
      </c>
      <c r="F4" s="159" t="s">
        <v>784</v>
      </c>
      <c r="G4" s="159"/>
      <c r="H4" s="161">
        <v>1172.0666666666666</v>
      </c>
      <c r="I4" s="161">
        <v>202.26666666666668</v>
      </c>
      <c r="J4" s="161">
        <v>1374.3333333333333</v>
      </c>
      <c r="K4" s="162">
        <v>831</v>
      </c>
      <c r="L4" s="162">
        <v>5633</v>
      </c>
      <c r="M4" s="162">
        <v>1960</v>
      </c>
      <c r="N4" s="162">
        <v>3914</v>
      </c>
      <c r="O4" s="162">
        <v>12338</v>
      </c>
      <c r="P4" s="162">
        <v>11507</v>
      </c>
      <c r="Q4" s="162">
        <v>8424</v>
      </c>
      <c r="R4" s="162">
        <v>206</v>
      </c>
      <c r="S4" s="160">
        <v>820.28888888888889</v>
      </c>
      <c r="T4" s="160">
        <v>926.06666666666672</v>
      </c>
      <c r="U4" s="160">
        <v>966.77777777777783</v>
      </c>
      <c r="V4" s="160">
        <v>892.28888888888889</v>
      </c>
      <c r="W4" s="160">
        <v>919.16111111111115</v>
      </c>
      <c r="X4" s="160">
        <v>879.82777777777778</v>
      </c>
      <c r="Y4" s="160">
        <v>929.98333333333335</v>
      </c>
      <c r="Z4" s="160">
        <v>933.1</v>
      </c>
      <c r="AA4" s="160">
        <v>982.95</v>
      </c>
      <c r="AB4" s="160">
        <v>972.89444444444439</v>
      </c>
      <c r="AC4" s="160">
        <v>1029.1055555555556</v>
      </c>
      <c r="AD4" s="160">
        <v>949.69444444444446</v>
      </c>
      <c r="AE4" s="160">
        <v>769.27777777777783</v>
      </c>
      <c r="AF4" s="160">
        <v>5514.1055555555558</v>
      </c>
      <c r="AG4" s="160">
        <v>1916.0500000000002</v>
      </c>
      <c r="AH4" s="160">
        <v>3720.9722222222222</v>
      </c>
      <c r="AI4" s="160">
        <v>8250.4444444444453</v>
      </c>
      <c r="AJ4" s="160">
        <v>11151.12777777778</v>
      </c>
      <c r="AK4" s="160">
        <v>11971.416666666668</v>
      </c>
      <c r="AL4" s="161">
        <v>1197.4888888888888</v>
      </c>
      <c r="AM4" s="161">
        <v>204.15555555555557</v>
      </c>
      <c r="AN4" s="161">
        <v>1401.6444444444444</v>
      </c>
      <c r="AO4" s="161">
        <v>12175.572222222223</v>
      </c>
      <c r="AP4" s="162">
        <v>821</v>
      </c>
      <c r="AQ4" s="168">
        <v>847</v>
      </c>
      <c r="AR4" s="160">
        <v>937</v>
      </c>
      <c r="AS4" s="160">
        <v>985</v>
      </c>
      <c r="AT4" s="160">
        <v>912</v>
      </c>
      <c r="AU4" s="160">
        <v>938</v>
      </c>
      <c r="AV4" s="160">
        <v>911</v>
      </c>
      <c r="AW4" s="160">
        <v>943</v>
      </c>
      <c r="AX4" s="160">
        <v>971</v>
      </c>
      <c r="AY4" s="160">
        <v>1041</v>
      </c>
      <c r="AZ4" s="160">
        <v>1000</v>
      </c>
      <c r="BA4" s="160">
        <v>1003</v>
      </c>
      <c r="BB4" s="160">
        <v>959</v>
      </c>
      <c r="BC4" s="160">
        <v>5530</v>
      </c>
      <c r="BD4" s="160">
        <v>1914</v>
      </c>
      <c r="BE4" s="160">
        <v>4003</v>
      </c>
      <c r="BF4" s="160">
        <v>8265</v>
      </c>
      <c r="BG4" s="160">
        <v>11447</v>
      </c>
      <c r="BH4" s="160">
        <v>12268</v>
      </c>
      <c r="BI4" s="160">
        <v>813</v>
      </c>
      <c r="BJ4" s="160">
        <v>8</v>
      </c>
      <c r="BK4" s="160">
        <v>6</v>
      </c>
      <c r="BL4" s="160">
        <v>4025</v>
      </c>
      <c r="BM4" s="160">
        <v>1265</v>
      </c>
      <c r="BN4" s="162">
        <v>224</v>
      </c>
      <c r="BO4" s="162">
        <v>1489</v>
      </c>
      <c r="BP4" s="162">
        <v>441</v>
      </c>
      <c r="BQ4" s="163">
        <v>8.3906684417191402E-2</v>
      </c>
      <c r="BR4" s="164">
        <v>687.82000000000028</v>
      </c>
      <c r="BS4" s="164">
        <v>657.85000000000014</v>
      </c>
      <c r="BT4" s="164">
        <v>623.95000000000005</v>
      </c>
      <c r="BU4" s="164">
        <v>704.72</v>
      </c>
      <c r="BV4" s="165">
        <v>0</v>
      </c>
      <c r="BW4" s="165">
        <v>0</v>
      </c>
      <c r="BX4" s="166">
        <v>0</v>
      </c>
      <c r="BY4" s="166">
        <v>21.522221999999999</v>
      </c>
      <c r="BZ4" s="166">
        <v>791.4</v>
      </c>
      <c r="CA4" s="166">
        <v>812.92222222222222</v>
      </c>
      <c r="CB4" s="166">
        <v>826.92222222222222</v>
      </c>
      <c r="CC4" s="166">
        <v>916.30555555555554</v>
      </c>
      <c r="CD4" s="166">
        <v>962.38888888888891</v>
      </c>
      <c r="CE4" s="166">
        <v>905.43888888888887</v>
      </c>
      <c r="CF4" s="166">
        <v>923.65</v>
      </c>
      <c r="CG4" s="166">
        <v>889.66666666666663</v>
      </c>
      <c r="CH4" s="166">
        <v>918.56666666666672</v>
      </c>
      <c r="CI4" s="166">
        <v>938.22222222222217</v>
      </c>
      <c r="CJ4" s="166">
        <v>1010.3166666666667</v>
      </c>
      <c r="CK4" s="166">
        <v>963.15555555555557</v>
      </c>
      <c r="CL4" s="166">
        <v>966.97777777777776</v>
      </c>
      <c r="CM4" s="166">
        <v>836.31666666666672</v>
      </c>
      <c r="CN4" s="166">
        <v>5424.3722222222223</v>
      </c>
      <c r="CO4" s="166">
        <v>1856.7888888888888</v>
      </c>
      <c r="CP4" s="166">
        <v>3776.7666666666664</v>
      </c>
      <c r="CQ4" s="166">
        <v>8094.0833333333339</v>
      </c>
      <c r="CR4" s="166">
        <v>11057.927777777779</v>
      </c>
      <c r="CS4" s="166">
        <v>11870.850000000002</v>
      </c>
      <c r="CT4" s="166">
        <v>1279.07222222222</v>
      </c>
      <c r="CU4" s="166">
        <v>224.73333333333301</v>
      </c>
      <c r="CV4" s="166">
        <v>1503.8055555555529</v>
      </c>
      <c r="CW4" s="166">
        <v>12095.583333333336</v>
      </c>
      <c r="CX4" s="166">
        <v>0</v>
      </c>
      <c r="CY4" s="166">
        <v>836</v>
      </c>
      <c r="CZ4" s="165">
        <v>46</v>
      </c>
      <c r="DA4" s="165">
        <v>882</v>
      </c>
      <c r="DB4" s="165">
        <v>822</v>
      </c>
      <c r="DC4" s="165">
        <v>850</v>
      </c>
      <c r="DD4" s="165">
        <v>931</v>
      </c>
      <c r="DE4" s="165">
        <v>980</v>
      </c>
      <c r="DF4" s="165">
        <v>911</v>
      </c>
      <c r="DG4" s="165">
        <v>960</v>
      </c>
      <c r="DH4" s="165">
        <v>919</v>
      </c>
      <c r="DI4" s="165">
        <v>972</v>
      </c>
      <c r="DJ4" s="165">
        <v>1014</v>
      </c>
      <c r="DK4" s="165">
        <v>1038</v>
      </c>
      <c r="DL4" s="165">
        <v>982</v>
      </c>
      <c r="DM4" s="165">
        <v>983</v>
      </c>
      <c r="DN4" s="165">
        <v>5454</v>
      </c>
      <c r="DO4" s="165">
        <v>1891</v>
      </c>
      <c r="DP4" s="165">
        <v>4017</v>
      </c>
      <c r="DQ4" s="165">
        <v>8227</v>
      </c>
      <c r="DR4" s="165">
        <v>11362</v>
      </c>
      <c r="DS4" s="165">
        <v>12244</v>
      </c>
      <c r="DT4" s="165">
        <v>9</v>
      </c>
      <c r="DU4" s="165">
        <v>3924</v>
      </c>
      <c r="DV4" s="165">
        <v>1388</v>
      </c>
      <c r="DW4" s="165">
        <v>227</v>
      </c>
      <c r="DX4" s="165">
        <v>1615</v>
      </c>
      <c r="DY4" s="165">
        <v>12471</v>
      </c>
      <c r="DZ4" s="165">
        <v>441</v>
      </c>
      <c r="EA4" s="166">
        <v>711.63000000000022</v>
      </c>
      <c r="EB4" s="166">
        <v>681.63000000000011</v>
      </c>
      <c r="EC4" s="166">
        <v>311.63200000000001</v>
      </c>
      <c r="ED4" s="166">
        <v>268.22799999999995</v>
      </c>
      <c r="EE4" s="166">
        <v>0</v>
      </c>
      <c r="EF4" s="166">
        <v>735.5100000000001</v>
      </c>
      <c r="EG4" s="167">
        <v>8.3551313287509366E-2</v>
      </c>
      <c r="EH4" s="165"/>
      <c r="EI4" s="165">
        <v>886</v>
      </c>
      <c r="EJ4" s="165">
        <v>11414</v>
      </c>
      <c r="EK4" s="165"/>
      <c r="EL4" s="165"/>
      <c r="EM4" s="166"/>
      <c r="EN4" s="165">
        <v>12300</v>
      </c>
      <c r="EO4" s="165">
        <v>231</v>
      </c>
      <c r="EP4" s="165">
        <v>1590</v>
      </c>
      <c r="EQ4" s="165">
        <v>1821</v>
      </c>
      <c r="ER4" s="165">
        <v>1358</v>
      </c>
      <c r="ES4" s="165">
        <v>232</v>
      </c>
      <c r="ET4" s="165">
        <v>40</v>
      </c>
      <c r="EU4" s="166">
        <v>310.923</v>
      </c>
      <c r="EV4" s="166">
        <v>9.1750000000000007</v>
      </c>
      <c r="EW4" s="166">
        <v>44.866</v>
      </c>
      <c r="EX4" s="166">
        <v>5.875</v>
      </c>
      <c r="EY4" s="166">
        <v>242.107</v>
      </c>
      <c r="EZ4" s="166">
        <v>612.94600000000003</v>
      </c>
      <c r="FA4" s="166">
        <v>20</v>
      </c>
      <c r="FB4" s="166">
        <v>838.58888888888885</v>
      </c>
      <c r="FC4" s="166">
        <v>858.58888888888885</v>
      </c>
      <c r="FD4" s="166">
        <v>805.18888888888887</v>
      </c>
      <c r="FE4" s="166">
        <v>829.12777777777774</v>
      </c>
      <c r="FF4" s="166">
        <v>907.51666666666665</v>
      </c>
      <c r="FG4" s="166">
        <v>955.91111111111115</v>
      </c>
      <c r="FH4" s="166">
        <v>891.27777777777783</v>
      </c>
      <c r="FI4" s="166">
        <v>931.87777777777774</v>
      </c>
      <c r="FJ4" s="166">
        <v>889.15</v>
      </c>
      <c r="FK4" s="166">
        <v>947.97222222222217</v>
      </c>
      <c r="FL4" s="166">
        <v>989.17777777777781</v>
      </c>
      <c r="FM4" s="166">
        <v>1003.8944444444444</v>
      </c>
      <c r="FN4" s="166">
        <v>942.39444444444439</v>
      </c>
      <c r="FO4" s="166">
        <v>838.22777777777776</v>
      </c>
      <c r="FP4" s="166">
        <v>5320.9</v>
      </c>
      <c r="FQ4" s="166">
        <v>1837.1222222222223</v>
      </c>
      <c r="FR4" s="166">
        <v>3773.6944444444439</v>
      </c>
      <c r="FS4" s="166">
        <v>8016.6111111111113</v>
      </c>
      <c r="FT4" s="166">
        <v>10931.716666666667</v>
      </c>
      <c r="FU4" s="166">
        <v>11790.305555555555</v>
      </c>
      <c r="FV4" s="166">
        <v>1360.3944444444444</v>
      </c>
      <c r="FW4" s="166">
        <v>234.02777777777777</v>
      </c>
      <c r="FX4" s="166">
        <v>1594.4222222222222</v>
      </c>
      <c r="FY4" s="166">
        <v>12024.333333333332</v>
      </c>
      <c r="FZ4" s="165">
        <v>29</v>
      </c>
      <c r="GA4" s="165">
        <v>779</v>
      </c>
      <c r="GB4" s="165">
        <v>808</v>
      </c>
      <c r="GC4" s="165">
        <v>867</v>
      </c>
      <c r="GD4" s="165">
        <v>832</v>
      </c>
      <c r="GE4" s="165">
        <v>842</v>
      </c>
      <c r="GF4" s="165">
        <v>942</v>
      </c>
      <c r="GG4" s="165">
        <v>1001</v>
      </c>
      <c r="GH4" s="165">
        <v>917</v>
      </c>
      <c r="GI4" s="165">
        <v>958</v>
      </c>
      <c r="GJ4" s="165">
        <v>940</v>
      </c>
      <c r="GK4" s="165">
        <v>986</v>
      </c>
      <c r="GL4" s="165">
        <v>1023</v>
      </c>
      <c r="GM4" s="165">
        <v>999</v>
      </c>
      <c r="GN4" s="165">
        <v>972</v>
      </c>
      <c r="GO4" s="165">
        <v>5401</v>
      </c>
      <c r="GP4" s="165">
        <v>1898</v>
      </c>
      <c r="GQ4" s="165">
        <v>3980</v>
      </c>
      <c r="GR4" s="165">
        <v>8107</v>
      </c>
      <c r="GS4" s="165">
        <v>11279</v>
      </c>
      <c r="GT4" s="165">
        <v>12087</v>
      </c>
      <c r="GU4" s="165">
        <v>6</v>
      </c>
      <c r="GV4" s="165">
        <v>3621</v>
      </c>
      <c r="GW4" s="165">
        <v>1399</v>
      </c>
      <c r="GX4" s="165">
        <v>226</v>
      </c>
      <c r="GY4" s="165">
        <v>1625</v>
      </c>
      <c r="GZ4" s="165">
        <v>12313</v>
      </c>
      <c r="HA4" s="165">
        <v>415</v>
      </c>
      <c r="HB4" s="166">
        <v>717.09</v>
      </c>
      <c r="HC4" s="166">
        <v>683.08999999999992</v>
      </c>
      <c r="HD4" s="166">
        <v>304.15099999999995</v>
      </c>
      <c r="HE4" s="166">
        <v>264.25900000000001</v>
      </c>
      <c r="HF4" s="166"/>
      <c r="HG4" s="166">
        <v>724.09</v>
      </c>
      <c r="HH4" s="166">
        <v>218</v>
      </c>
      <c r="HI4" s="166">
        <v>1613</v>
      </c>
      <c r="HJ4" s="166">
        <v>1831</v>
      </c>
      <c r="HK4" s="166">
        <v>1395</v>
      </c>
      <c r="HL4" s="166">
        <v>218</v>
      </c>
      <c r="HM4" s="166">
        <v>58</v>
      </c>
      <c r="HN4" s="166">
        <v>795</v>
      </c>
      <c r="HO4" s="166">
        <v>11105</v>
      </c>
      <c r="HP4" s="166">
        <v>0</v>
      </c>
      <c r="HQ4" s="166">
        <v>0</v>
      </c>
      <c r="HR4" s="166">
        <v>0</v>
      </c>
      <c r="HS4" s="166">
        <v>11900</v>
      </c>
      <c r="HT4" s="166">
        <f>FY26_FE_Data_April15[[#This Row],[Oct 1, 2026 (CDC) - K]]+FY26_FE_Data_April15[[#This Row],[Oct 1, 2026 (CDC) - Grades 1-6]]+FY26_FE_Data_April15[[#This Row],[Oct 1, 2026 (CDC) - Grades 7-8]]</f>
        <v>795</v>
      </c>
      <c r="HU4" s="166">
        <v>0</v>
      </c>
    </row>
    <row r="5" spans="1:229" ht="26">
      <c r="A5" s="158">
        <v>4</v>
      </c>
      <c r="B5" s="159" t="s">
        <v>191</v>
      </c>
      <c r="C5" s="160" t="s">
        <v>290</v>
      </c>
      <c r="D5" s="160" t="s">
        <v>87</v>
      </c>
      <c r="E5" s="159" t="s">
        <v>784</v>
      </c>
      <c r="F5" s="159" t="s">
        <v>784</v>
      </c>
      <c r="G5" s="159"/>
      <c r="H5" s="161">
        <v>1942.4444444444443</v>
      </c>
      <c r="I5" s="161">
        <v>316.53333333333336</v>
      </c>
      <c r="J5" s="161">
        <v>2258.9777777777776</v>
      </c>
      <c r="K5" s="162">
        <v>1308</v>
      </c>
      <c r="L5" s="162">
        <v>8695</v>
      </c>
      <c r="M5" s="162">
        <v>3029</v>
      </c>
      <c r="N5" s="162">
        <v>6699</v>
      </c>
      <c r="O5" s="162">
        <v>19731</v>
      </c>
      <c r="P5" s="162">
        <v>18423</v>
      </c>
      <c r="Q5" s="162">
        <v>13032</v>
      </c>
      <c r="R5" s="162">
        <v>347</v>
      </c>
      <c r="S5" s="160">
        <v>1265.2666666666667</v>
      </c>
      <c r="T5" s="160">
        <v>1389.1111111111111</v>
      </c>
      <c r="U5" s="160">
        <v>1360.4777777777779</v>
      </c>
      <c r="V5" s="160">
        <v>1390.9944444444445</v>
      </c>
      <c r="W5" s="160">
        <v>1428.8277777777778</v>
      </c>
      <c r="X5" s="160">
        <v>1451.7277777777779</v>
      </c>
      <c r="Y5" s="160">
        <v>1518.1111111111111</v>
      </c>
      <c r="Z5" s="160">
        <v>1474.7444444444445</v>
      </c>
      <c r="AA5" s="160">
        <v>1515.2666666666667</v>
      </c>
      <c r="AB5" s="160">
        <v>1684.7333333333333</v>
      </c>
      <c r="AC5" s="160">
        <v>1700.6055555555556</v>
      </c>
      <c r="AD5" s="160">
        <v>1626.4888888888888</v>
      </c>
      <c r="AE5" s="160">
        <v>1489.3222222222223</v>
      </c>
      <c r="AF5" s="160">
        <v>8539.25</v>
      </c>
      <c r="AG5" s="160">
        <v>2990.0111111111109</v>
      </c>
      <c r="AH5" s="160">
        <v>6501.15</v>
      </c>
      <c r="AI5" s="160">
        <v>12794.527777777777</v>
      </c>
      <c r="AJ5" s="160">
        <v>18030.411111111109</v>
      </c>
      <c r="AK5" s="160">
        <v>19295.677777777775</v>
      </c>
      <c r="AL5" s="161">
        <v>1883.4</v>
      </c>
      <c r="AM5" s="161">
        <v>342.18333333333334</v>
      </c>
      <c r="AN5" s="161">
        <v>2225.5833333333335</v>
      </c>
      <c r="AO5" s="161">
        <v>19637.861111111109</v>
      </c>
      <c r="AP5" s="162">
        <v>1275</v>
      </c>
      <c r="AQ5" s="168">
        <v>1343</v>
      </c>
      <c r="AR5" s="160">
        <v>1426</v>
      </c>
      <c r="AS5" s="160">
        <v>1421</v>
      </c>
      <c r="AT5" s="160">
        <v>1449</v>
      </c>
      <c r="AU5" s="160">
        <v>1479</v>
      </c>
      <c r="AV5" s="160">
        <v>1518</v>
      </c>
      <c r="AW5" s="160">
        <v>1603</v>
      </c>
      <c r="AX5" s="160">
        <v>1493</v>
      </c>
      <c r="AY5" s="160">
        <v>1720</v>
      </c>
      <c r="AZ5" s="160">
        <v>1695</v>
      </c>
      <c r="BA5" s="160">
        <v>1711</v>
      </c>
      <c r="BB5" s="160">
        <v>1661</v>
      </c>
      <c r="BC5" s="160">
        <v>8636</v>
      </c>
      <c r="BD5" s="160">
        <v>3096</v>
      </c>
      <c r="BE5" s="160">
        <v>6787</v>
      </c>
      <c r="BF5" s="160">
        <v>13007</v>
      </c>
      <c r="BG5" s="160">
        <v>18519</v>
      </c>
      <c r="BH5" s="160">
        <v>19794</v>
      </c>
      <c r="BI5" s="160">
        <v>613</v>
      </c>
      <c r="BJ5" s="160">
        <v>662</v>
      </c>
      <c r="BK5" s="160">
        <v>21</v>
      </c>
      <c r="BL5" s="160">
        <v>5235</v>
      </c>
      <c r="BM5" s="160">
        <v>1999</v>
      </c>
      <c r="BN5" s="162">
        <v>324</v>
      </c>
      <c r="BO5" s="162">
        <v>2323</v>
      </c>
      <c r="BP5" s="162">
        <v>697</v>
      </c>
      <c r="BQ5" s="163">
        <v>8.8204921894990851E-2</v>
      </c>
      <c r="BR5" s="164">
        <v>1047.8430000000001</v>
      </c>
      <c r="BS5" s="164">
        <v>1011.8430000000001</v>
      </c>
      <c r="BT5" s="164">
        <v>938.45597999999995</v>
      </c>
      <c r="BU5" s="164">
        <v>1033.6239800000003</v>
      </c>
      <c r="BV5" s="165">
        <v>0</v>
      </c>
      <c r="BW5" s="165">
        <v>0</v>
      </c>
      <c r="BX5" s="166">
        <v>0</v>
      </c>
      <c r="BY5" s="166">
        <v>651.46666600000003</v>
      </c>
      <c r="BZ5" s="166">
        <v>599.53333299999997</v>
      </c>
      <c r="CA5" s="166">
        <v>1251</v>
      </c>
      <c r="CB5" s="166">
        <v>1306.8722222222223</v>
      </c>
      <c r="CC5" s="166">
        <v>1393.4666666666667</v>
      </c>
      <c r="CD5" s="166">
        <v>1409.0555555555557</v>
      </c>
      <c r="CE5" s="166">
        <v>1419.0277777777778</v>
      </c>
      <c r="CF5" s="166">
        <v>1452.338888888889</v>
      </c>
      <c r="CG5" s="166">
        <v>1502.0222222222221</v>
      </c>
      <c r="CH5" s="166">
        <v>1571.6277777777777</v>
      </c>
      <c r="CI5" s="166">
        <v>1481.0222222222221</v>
      </c>
      <c r="CJ5" s="166">
        <v>1696.338888888889</v>
      </c>
      <c r="CK5" s="166">
        <v>1664.5055555555555</v>
      </c>
      <c r="CL5" s="166">
        <v>1673.9222222222222</v>
      </c>
      <c r="CM5" s="166">
        <v>1557.7944444444445</v>
      </c>
      <c r="CN5" s="166">
        <v>8482.7833333333328</v>
      </c>
      <c r="CO5" s="166">
        <v>3052.6499999999996</v>
      </c>
      <c r="CP5" s="166">
        <v>6592.5611111111111</v>
      </c>
      <c r="CQ5" s="166">
        <v>12786.433333333332</v>
      </c>
      <c r="CR5" s="166">
        <v>18127.994444444445</v>
      </c>
      <c r="CS5" s="166">
        <v>19378.994444444445</v>
      </c>
      <c r="CT5" s="166">
        <v>1931.2833333333299</v>
      </c>
      <c r="CU5" s="166">
        <v>321.566666666667</v>
      </c>
      <c r="CV5" s="166">
        <v>2252.8499999999967</v>
      </c>
      <c r="CW5" s="166">
        <v>19700.56111111111</v>
      </c>
      <c r="CX5" s="166">
        <v>0</v>
      </c>
      <c r="CY5" s="166">
        <v>1018</v>
      </c>
      <c r="CZ5" s="165">
        <v>200</v>
      </c>
      <c r="DA5" s="165">
        <v>1218</v>
      </c>
      <c r="DB5" s="165">
        <v>1316</v>
      </c>
      <c r="DC5" s="165">
        <v>1358</v>
      </c>
      <c r="DD5" s="165">
        <v>1456</v>
      </c>
      <c r="DE5" s="165">
        <v>1458</v>
      </c>
      <c r="DF5" s="165">
        <v>1483</v>
      </c>
      <c r="DG5" s="165">
        <v>1502</v>
      </c>
      <c r="DH5" s="165">
        <v>1590</v>
      </c>
      <c r="DI5" s="165">
        <v>1623</v>
      </c>
      <c r="DJ5" s="165">
        <v>1716</v>
      </c>
      <c r="DK5" s="165">
        <v>1740</v>
      </c>
      <c r="DL5" s="165">
        <v>1676</v>
      </c>
      <c r="DM5" s="165">
        <v>1711</v>
      </c>
      <c r="DN5" s="165">
        <v>8573</v>
      </c>
      <c r="DO5" s="165">
        <v>3213</v>
      </c>
      <c r="DP5" s="165">
        <v>6843</v>
      </c>
      <c r="DQ5" s="165">
        <v>13004</v>
      </c>
      <c r="DR5" s="165">
        <v>18629</v>
      </c>
      <c r="DS5" s="165">
        <v>19847</v>
      </c>
      <c r="DT5" s="165">
        <v>24</v>
      </c>
      <c r="DU5" s="165">
        <v>5515</v>
      </c>
      <c r="DV5" s="165">
        <v>1968</v>
      </c>
      <c r="DW5" s="165">
        <v>337</v>
      </c>
      <c r="DX5" s="165">
        <v>2305</v>
      </c>
      <c r="DY5" s="165">
        <v>20184</v>
      </c>
      <c r="DZ5" s="165">
        <v>735</v>
      </c>
      <c r="EA5" s="166">
        <v>1062.3750000000002</v>
      </c>
      <c r="EB5" s="166">
        <v>1026.375</v>
      </c>
      <c r="EC5" s="166">
        <v>454.33700000000005</v>
      </c>
      <c r="ED5" s="166">
        <v>413.82900000000012</v>
      </c>
      <c r="EE5" s="166">
        <v>2.9569999999999999</v>
      </c>
      <c r="EF5" s="166">
        <v>1074.5799999999997</v>
      </c>
      <c r="EG5" s="167">
        <v>8.9839445197695378E-2</v>
      </c>
      <c r="EH5" s="165"/>
      <c r="EI5" s="165">
        <v>1215</v>
      </c>
      <c r="EJ5" s="165">
        <v>18584</v>
      </c>
      <c r="EK5" s="165"/>
      <c r="EL5" s="165"/>
      <c r="EM5" s="166"/>
      <c r="EN5" s="165">
        <v>19799</v>
      </c>
      <c r="EO5" s="165">
        <v>357</v>
      </c>
      <c r="EP5" s="165">
        <v>2250</v>
      </c>
      <c r="EQ5" s="165">
        <v>2607</v>
      </c>
      <c r="ER5" s="165">
        <v>1911</v>
      </c>
      <c r="ES5" s="165">
        <v>339</v>
      </c>
      <c r="ET5" s="165">
        <v>226</v>
      </c>
      <c r="EU5" s="166">
        <v>890</v>
      </c>
      <c r="EV5" s="166">
        <v>15</v>
      </c>
      <c r="EW5" s="166">
        <v>59</v>
      </c>
      <c r="EX5" s="166">
        <v>12</v>
      </c>
      <c r="EY5" s="166">
        <v>330</v>
      </c>
      <c r="EZ5" s="166">
        <v>1306</v>
      </c>
      <c r="FA5" s="166">
        <v>180.21111111111111</v>
      </c>
      <c r="FB5" s="166">
        <v>1010.0944444444444</v>
      </c>
      <c r="FC5" s="166">
        <v>1190.3055555555557</v>
      </c>
      <c r="FD5" s="166">
        <v>1282.9222222222222</v>
      </c>
      <c r="FE5" s="166">
        <v>1329.5166666666667</v>
      </c>
      <c r="FF5" s="166">
        <v>1421.8166666666666</v>
      </c>
      <c r="FG5" s="166">
        <v>1434.6444444444444</v>
      </c>
      <c r="FH5" s="166">
        <v>1450.6166666666666</v>
      </c>
      <c r="FI5" s="166">
        <v>1467.5666666666666</v>
      </c>
      <c r="FJ5" s="166">
        <v>1568.75</v>
      </c>
      <c r="FK5" s="166">
        <v>1600.4666666666667</v>
      </c>
      <c r="FL5" s="166">
        <v>1688.9611111111112</v>
      </c>
      <c r="FM5" s="166">
        <v>1709.3333333333333</v>
      </c>
      <c r="FN5" s="166">
        <v>1645.1</v>
      </c>
      <c r="FO5" s="166">
        <v>1617.65</v>
      </c>
      <c r="FP5" s="166">
        <v>8387.0833333333321</v>
      </c>
      <c r="FQ5" s="166">
        <v>3169.2166666666667</v>
      </c>
      <c r="FR5" s="166">
        <v>6661.0444444444438</v>
      </c>
      <c r="FS5" s="166">
        <v>12746.605555555556</v>
      </c>
      <c r="FT5" s="166">
        <v>18217.344444444447</v>
      </c>
      <c r="FU5" s="166">
        <v>19407.650000000001</v>
      </c>
      <c r="FV5" s="166">
        <v>1911.5722222222223</v>
      </c>
      <c r="FW5" s="166">
        <v>347.11666666666667</v>
      </c>
      <c r="FX5" s="166">
        <v>2258.6888888888889</v>
      </c>
      <c r="FY5" s="166">
        <v>19754.766666666666</v>
      </c>
      <c r="FZ5" s="165">
        <v>152</v>
      </c>
      <c r="GA5" s="165">
        <v>1034</v>
      </c>
      <c r="GB5" s="165">
        <v>1186</v>
      </c>
      <c r="GC5" s="165">
        <v>1235</v>
      </c>
      <c r="GD5" s="165">
        <v>1320</v>
      </c>
      <c r="GE5" s="165">
        <v>1369</v>
      </c>
      <c r="GF5" s="165">
        <v>1471</v>
      </c>
      <c r="GG5" s="165">
        <v>1488</v>
      </c>
      <c r="GH5" s="165">
        <v>1517</v>
      </c>
      <c r="GI5" s="165">
        <v>1544</v>
      </c>
      <c r="GJ5" s="165">
        <v>1610</v>
      </c>
      <c r="GK5" s="165">
        <v>1822</v>
      </c>
      <c r="GL5" s="165">
        <v>1714</v>
      </c>
      <c r="GM5" s="165">
        <v>1732</v>
      </c>
      <c r="GN5" s="165">
        <v>1712</v>
      </c>
      <c r="GO5" s="165">
        <v>8400</v>
      </c>
      <c r="GP5" s="165">
        <v>3154</v>
      </c>
      <c r="GQ5" s="165">
        <v>6980</v>
      </c>
      <c r="GR5" s="165">
        <v>12740</v>
      </c>
      <c r="GS5" s="165">
        <v>18534</v>
      </c>
      <c r="GT5" s="165">
        <v>19720</v>
      </c>
      <c r="GU5" s="165">
        <v>15</v>
      </c>
      <c r="GV5" s="165">
        <v>4982</v>
      </c>
      <c r="GW5" s="165">
        <v>1921</v>
      </c>
      <c r="GX5" s="165">
        <v>382</v>
      </c>
      <c r="GY5" s="165">
        <v>2303</v>
      </c>
      <c r="GZ5" s="165">
        <v>20102</v>
      </c>
      <c r="HA5" s="165">
        <v>685</v>
      </c>
      <c r="HB5" s="166">
        <v>1075.3679999999999</v>
      </c>
      <c r="HC5" s="166">
        <v>1038.8679999999999</v>
      </c>
      <c r="HD5" s="166">
        <v>453.66</v>
      </c>
      <c r="HE5" s="166">
        <v>420.44599999999997</v>
      </c>
      <c r="HF5" s="166"/>
      <c r="HG5" s="166">
        <v>1090.048</v>
      </c>
      <c r="HH5" s="166">
        <v>341</v>
      </c>
      <c r="HI5" s="166">
        <v>2264</v>
      </c>
      <c r="HJ5" s="166">
        <v>2605</v>
      </c>
      <c r="HK5" s="166">
        <v>1886</v>
      </c>
      <c r="HL5" s="166">
        <v>378</v>
      </c>
      <c r="HM5" s="166">
        <v>264</v>
      </c>
      <c r="HN5" s="166">
        <v>1158</v>
      </c>
      <c r="HO5" s="166">
        <v>18092</v>
      </c>
      <c r="HP5" s="166">
        <v>0</v>
      </c>
      <c r="HQ5" s="166">
        <v>0</v>
      </c>
      <c r="HR5" s="166">
        <v>0</v>
      </c>
      <c r="HS5" s="166">
        <v>19250</v>
      </c>
      <c r="HT5" s="166">
        <f>FY26_FE_Data_April15[[#This Row],[Oct 1, 2026 (CDC) - K]]+FY26_FE_Data_April15[[#This Row],[Oct 1, 2026 (CDC) - Grades 1-6]]+FY26_FE_Data_April15[[#This Row],[Oct 1, 2026 (CDC) - Grades 7-8]]</f>
        <v>1158</v>
      </c>
      <c r="HU5" s="166">
        <v>0</v>
      </c>
    </row>
    <row r="6" spans="1:229" ht="26">
      <c r="A6" s="158">
        <v>5</v>
      </c>
      <c r="B6" s="159" t="s">
        <v>291</v>
      </c>
      <c r="C6" s="160" t="s">
        <v>292</v>
      </c>
      <c r="D6" s="160" t="s">
        <v>87</v>
      </c>
      <c r="E6" s="159" t="s">
        <v>784</v>
      </c>
      <c r="F6" s="159" t="s">
        <v>784</v>
      </c>
      <c r="G6" s="159"/>
      <c r="H6" s="161">
        <v>438.9111111111111</v>
      </c>
      <c r="I6" s="161">
        <v>67.177777777777777</v>
      </c>
      <c r="J6" s="161">
        <v>506.08888888888885</v>
      </c>
      <c r="K6" s="162">
        <v>213</v>
      </c>
      <c r="L6" s="162">
        <v>1521</v>
      </c>
      <c r="M6" s="162">
        <v>548</v>
      </c>
      <c r="N6" s="162">
        <v>1052</v>
      </c>
      <c r="O6" s="162">
        <v>3334</v>
      </c>
      <c r="P6" s="162">
        <v>3121</v>
      </c>
      <c r="Q6" s="162">
        <v>2282</v>
      </c>
      <c r="R6" s="162">
        <v>56</v>
      </c>
      <c r="S6" s="160">
        <v>206.18333333333334</v>
      </c>
      <c r="T6" s="160">
        <v>247.5888888888889</v>
      </c>
      <c r="U6" s="160">
        <v>230.10555555555555</v>
      </c>
      <c r="V6" s="160">
        <v>213.96666666666667</v>
      </c>
      <c r="W6" s="160">
        <v>287.01111111111112</v>
      </c>
      <c r="X6" s="160">
        <v>253.4</v>
      </c>
      <c r="Y6" s="160">
        <v>260.86111111111109</v>
      </c>
      <c r="Z6" s="160">
        <v>263.42777777777781</v>
      </c>
      <c r="AA6" s="160">
        <v>274.10000000000002</v>
      </c>
      <c r="AB6" s="160">
        <v>263.95</v>
      </c>
      <c r="AC6" s="160">
        <v>284.13333333333333</v>
      </c>
      <c r="AD6" s="160">
        <v>236.12777777777777</v>
      </c>
      <c r="AE6" s="160">
        <v>223.07777777777778</v>
      </c>
      <c r="AF6" s="160">
        <v>1492.9333333333334</v>
      </c>
      <c r="AG6" s="160">
        <v>537.52777777777783</v>
      </c>
      <c r="AH6" s="160">
        <v>1007.2888888888888</v>
      </c>
      <c r="AI6" s="160">
        <v>2236.6444444444446</v>
      </c>
      <c r="AJ6" s="160">
        <v>3037.75</v>
      </c>
      <c r="AK6" s="160">
        <v>3243.9333333333334</v>
      </c>
      <c r="AL6" s="161">
        <v>477.15555555555557</v>
      </c>
      <c r="AM6" s="161">
        <v>50.672222222222224</v>
      </c>
      <c r="AN6" s="161">
        <v>527.82777777777778</v>
      </c>
      <c r="AO6" s="161">
        <v>3294.6055555555558</v>
      </c>
      <c r="AP6" s="162">
        <v>201</v>
      </c>
      <c r="AQ6" s="168">
        <v>200</v>
      </c>
      <c r="AR6" s="160">
        <v>244</v>
      </c>
      <c r="AS6" s="160">
        <v>226</v>
      </c>
      <c r="AT6" s="160">
        <v>219</v>
      </c>
      <c r="AU6" s="160">
        <v>287</v>
      </c>
      <c r="AV6" s="160">
        <v>253</v>
      </c>
      <c r="AW6" s="160">
        <v>265</v>
      </c>
      <c r="AX6" s="160">
        <v>252</v>
      </c>
      <c r="AY6" s="160">
        <v>273</v>
      </c>
      <c r="AZ6" s="160">
        <v>263</v>
      </c>
      <c r="BA6" s="160">
        <v>267</v>
      </c>
      <c r="BB6" s="160">
        <v>228</v>
      </c>
      <c r="BC6" s="160">
        <v>1429</v>
      </c>
      <c r="BD6" s="160">
        <v>517</v>
      </c>
      <c r="BE6" s="160">
        <v>1031</v>
      </c>
      <c r="BF6" s="160">
        <v>2147</v>
      </c>
      <c r="BG6" s="160">
        <v>2977</v>
      </c>
      <c r="BH6" s="160">
        <v>3178</v>
      </c>
      <c r="BI6" s="160">
        <v>201</v>
      </c>
      <c r="BJ6" s="160">
        <v>0</v>
      </c>
      <c r="BK6" s="160">
        <v>5</v>
      </c>
      <c r="BL6" s="160">
        <v>1449</v>
      </c>
      <c r="BM6" s="160">
        <v>454</v>
      </c>
      <c r="BN6" s="162">
        <v>39</v>
      </c>
      <c r="BO6" s="162">
        <v>493</v>
      </c>
      <c r="BP6" s="162">
        <v>78</v>
      </c>
      <c r="BQ6" s="163">
        <v>8.395246761588665E-2</v>
      </c>
      <c r="BR6" s="164">
        <v>217.95000000000005</v>
      </c>
      <c r="BS6" s="164">
        <v>205.95000000000005</v>
      </c>
      <c r="BT6" s="164">
        <v>196.75</v>
      </c>
      <c r="BU6" s="164">
        <v>220.95</v>
      </c>
      <c r="BV6" s="165">
        <v>0</v>
      </c>
      <c r="BW6" s="165">
        <v>0</v>
      </c>
      <c r="BX6" s="166">
        <v>0</v>
      </c>
      <c r="BY6" s="166">
        <v>0</v>
      </c>
      <c r="BZ6" s="166">
        <v>197.738888</v>
      </c>
      <c r="CA6" s="166">
        <v>197.73888888888888</v>
      </c>
      <c r="CB6" s="166">
        <v>201.18333333333334</v>
      </c>
      <c r="CC6" s="166">
        <v>241.00555555555556</v>
      </c>
      <c r="CD6" s="166">
        <v>222.83333333333334</v>
      </c>
      <c r="CE6" s="166">
        <v>219.38333333333333</v>
      </c>
      <c r="CF6" s="166">
        <v>283.72777777777776</v>
      </c>
      <c r="CG6" s="166">
        <v>257.2</v>
      </c>
      <c r="CH6" s="166">
        <v>267.42777777777781</v>
      </c>
      <c r="CI6" s="166">
        <v>256.01666666666665</v>
      </c>
      <c r="CJ6" s="166">
        <v>271.58333333333331</v>
      </c>
      <c r="CK6" s="166">
        <v>249.87222222222223</v>
      </c>
      <c r="CL6" s="166">
        <v>256.48333333333335</v>
      </c>
      <c r="CM6" s="166">
        <v>212.13333333333333</v>
      </c>
      <c r="CN6" s="166">
        <v>1425.3333333333333</v>
      </c>
      <c r="CO6" s="166">
        <v>523.44444444444446</v>
      </c>
      <c r="CP6" s="166">
        <v>990.07222222222219</v>
      </c>
      <c r="CQ6" s="166">
        <v>2146.5166666666664</v>
      </c>
      <c r="CR6" s="166">
        <v>2938.8499999999995</v>
      </c>
      <c r="CS6" s="166">
        <v>3136.5888888888885</v>
      </c>
      <c r="CT6" s="166">
        <v>482.05</v>
      </c>
      <c r="CU6" s="166">
        <v>43.4166666666667</v>
      </c>
      <c r="CV6" s="166">
        <v>525.4666666666667</v>
      </c>
      <c r="CW6" s="166">
        <v>3180.005555555555</v>
      </c>
      <c r="CX6" s="166">
        <v>0</v>
      </c>
      <c r="CY6" s="166">
        <v>239</v>
      </c>
      <c r="CZ6" s="165">
        <v>0</v>
      </c>
      <c r="DA6" s="165">
        <v>239</v>
      </c>
      <c r="DB6" s="165">
        <v>198</v>
      </c>
      <c r="DC6" s="165">
        <v>197</v>
      </c>
      <c r="DD6" s="165">
        <v>251</v>
      </c>
      <c r="DE6" s="165">
        <v>230</v>
      </c>
      <c r="DF6" s="165">
        <v>229</v>
      </c>
      <c r="DG6" s="165">
        <v>294</v>
      </c>
      <c r="DH6" s="165">
        <v>266</v>
      </c>
      <c r="DI6" s="165">
        <v>261</v>
      </c>
      <c r="DJ6" s="165">
        <v>246</v>
      </c>
      <c r="DK6" s="165">
        <v>277</v>
      </c>
      <c r="DL6" s="165">
        <v>248</v>
      </c>
      <c r="DM6" s="165">
        <v>250</v>
      </c>
      <c r="DN6" s="165">
        <v>1399</v>
      </c>
      <c r="DO6" s="165">
        <v>527</v>
      </c>
      <c r="DP6" s="165">
        <v>1021</v>
      </c>
      <c r="DQ6" s="165">
        <v>2165</v>
      </c>
      <c r="DR6" s="165">
        <v>2947</v>
      </c>
      <c r="DS6" s="165">
        <v>3186</v>
      </c>
      <c r="DT6" s="165">
        <v>6</v>
      </c>
      <c r="DU6" s="165">
        <v>1536</v>
      </c>
      <c r="DV6" s="165">
        <v>480</v>
      </c>
      <c r="DW6" s="165">
        <v>39</v>
      </c>
      <c r="DX6" s="165">
        <v>519</v>
      </c>
      <c r="DY6" s="165">
        <v>3225</v>
      </c>
      <c r="DZ6" s="165">
        <v>84</v>
      </c>
      <c r="EA6" s="166">
        <v>219</v>
      </c>
      <c r="EB6" s="166">
        <v>207</v>
      </c>
      <c r="EC6" s="166">
        <v>88.600000000000009</v>
      </c>
      <c r="ED6" s="166">
        <v>84.289999999999978</v>
      </c>
      <c r="EE6" s="166">
        <v>0.5</v>
      </c>
      <c r="EF6" s="166">
        <v>220</v>
      </c>
      <c r="EG6" s="167">
        <v>8.3312661367893448E-2</v>
      </c>
      <c r="EH6" s="165"/>
      <c r="EI6" s="165">
        <v>235</v>
      </c>
      <c r="EJ6" s="165">
        <v>2897</v>
      </c>
      <c r="EK6" s="165"/>
      <c r="EL6" s="165"/>
      <c r="EM6" s="166"/>
      <c r="EN6" s="165">
        <v>3132</v>
      </c>
      <c r="EO6" s="165">
        <v>77</v>
      </c>
      <c r="EP6" s="165">
        <v>512</v>
      </c>
      <c r="EQ6" s="165">
        <v>590</v>
      </c>
      <c r="ER6" s="165">
        <v>476</v>
      </c>
      <c r="ES6" s="165">
        <v>36</v>
      </c>
      <c r="ET6" s="165">
        <v>48</v>
      </c>
      <c r="EU6" s="166">
        <v>120.1</v>
      </c>
      <c r="EV6" s="166">
        <v>4.8</v>
      </c>
      <c r="EW6" s="166">
        <v>19.73</v>
      </c>
      <c r="EX6" s="166">
        <v>15.5</v>
      </c>
      <c r="EY6" s="166">
        <v>89.32</v>
      </c>
      <c r="EZ6" s="166">
        <v>249.45</v>
      </c>
      <c r="FA6" s="166">
        <v>1</v>
      </c>
      <c r="FB6" s="166">
        <v>236.72777777777779</v>
      </c>
      <c r="FC6" s="166">
        <v>237.72777777777779</v>
      </c>
      <c r="FD6" s="166">
        <v>190.9</v>
      </c>
      <c r="FE6" s="166">
        <v>192.51111111111112</v>
      </c>
      <c r="FF6" s="166">
        <v>246.56666666666666</v>
      </c>
      <c r="FG6" s="166">
        <v>226.85</v>
      </c>
      <c r="FH6" s="166">
        <v>227.80555555555554</v>
      </c>
      <c r="FI6" s="166">
        <v>288.72222222222223</v>
      </c>
      <c r="FJ6" s="166">
        <v>261.04444444444442</v>
      </c>
      <c r="FK6" s="166">
        <v>257.43888888888887</v>
      </c>
      <c r="FL6" s="166">
        <v>241.0888888888889</v>
      </c>
      <c r="FM6" s="166">
        <v>265.12777777777779</v>
      </c>
      <c r="FN6" s="166">
        <v>240.22777777777779</v>
      </c>
      <c r="FO6" s="166">
        <v>239.84444444444443</v>
      </c>
      <c r="FP6" s="166">
        <v>1373.3555555555556</v>
      </c>
      <c r="FQ6" s="166">
        <v>518.48333333333335</v>
      </c>
      <c r="FR6" s="166">
        <v>986.28888888888889</v>
      </c>
      <c r="FS6" s="166">
        <v>2129.5666666666666</v>
      </c>
      <c r="FT6" s="166">
        <v>2878.1277777777777</v>
      </c>
      <c r="FU6" s="166">
        <v>3115.8555555555554</v>
      </c>
      <c r="FV6" s="166">
        <v>463.11666666666667</v>
      </c>
      <c r="FW6" s="166">
        <v>38.922222222222224</v>
      </c>
      <c r="FX6" s="166">
        <v>502.03888888888889</v>
      </c>
      <c r="FY6" s="166">
        <v>3154.7777777777778</v>
      </c>
      <c r="FZ6" s="165">
        <v>0</v>
      </c>
      <c r="GA6" s="165">
        <v>236</v>
      </c>
      <c r="GB6" s="165">
        <v>236</v>
      </c>
      <c r="GC6" s="165">
        <v>237</v>
      </c>
      <c r="GD6" s="165">
        <v>194</v>
      </c>
      <c r="GE6" s="165">
        <v>197</v>
      </c>
      <c r="GF6" s="165">
        <v>254</v>
      </c>
      <c r="GG6" s="165">
        <v>225</v>
      </c>
      <c r="GH6" s="165">
        <v>236</v>
      </c>
      <c r="GI6" s="165">
        <v>296</v>
      </c>
      <c r="GJ6" s="165">
        <v>259</v>
      </c>
      <c r="GK6" s="165">
        <v>263</v>
      </c>
      <c r="GL6" s="165">
        <v>243</v>
      </c>
      <c r="GM6" s="165">
        <v>259</v>
      </c>
      <c r="GN6" s="165">
        <v>236</v>
      </c>
      <c r="GO6" s="165">
        <v>1343</v>
      </c>
      <c r="GP6" s="165">
        <v>555</v>
      </c>
      <c r="GQ6" s="165">
        <v>1001</v>
      </c>
      <c r="GR6" s="165">
        <v>2134</v>
      </c>
      <c r="GS6" s="165">
        <v>2899</v>
      </c>
      <c r="GT6" s="165">
        <v>3135</v>
      </c>
      <c r="GU6" s="165">
        <v>1</v>
      </c>
      <c r="GV6" s="165">
        <v>1300</v>
      </c>
      <c r="GW6" s="165">
        <v>441</v>
      </c>
      <c r="GX6" s="165">
        <v>51</v>
      </c>
      <c r="GY6" s="165">
        <v>492</v>
      </c>
      <c r="GZ6" s="165">
        <v>3186</v>
      </c>
      <c r="HA6" s="165">
        <v>87</v>
      </c>
      <c r="HB6" s="166">
        <v>212</v>
      </c>
      <c r="HC6" s="166">
        <v>200</v>
      </c>
      <c r="HD6" s="166">
        <v>88.740000000000009</v>
      </c>
      <c r="HE6" s="166">
        <v>81.02</v>
      </c>
      <c r="HF6" s="166"/>
      <c r="HG6" s="166">
        <v>213.5</v>
      </c>
      <c r="HH6" s="166">
        <v>58</v>
      </c>
      <c r="HI6" s="166">
        <v>501</v>
      </c>
      <c r="HJ6" s="166">
        <v>559</v>
      </c>
      <c r="HK6" s="166">
        <v>449</v>
      </c>
      <c r="HL6" s="166">
        <v>52</v>
      </c>
      <c r="HM6" s="166">
        <v>49</v>
      </c>
      <c r="HN6" s="166">
        <v>233</v>
      </c>
      <c r="HO6" s="166">
        <v>2861</v>
      </c>
      <c r="HP6" s="166">
        <v>0</v>
      </c>
      <c r="HQ6" s="166">
        <v>0</v>
      </c>
      <c r="HR6" s="166">
        <v>0</v>
      </c>
      <c r="HS6" s="166">
        <v>3094</v>
      </c>
      <c r="HT6" s="166">
        <f>FY26_FE_Data_April15[[#This Row],[Oct 1, 2026 (CDC) - K]]+FY26_FE_Data_April15[[#This Row],[Oct 1, 2026 (CDC) - Grades 1-6]]+FY26_FE_Data_April15[[#This Row],[Oct 1, 2026 (CDC) - Grades 7-8]]</f>
        <v>233</v>
      </c>
      <c r="HU6" s="166">
        <v>0</v>
      </c>
    </row>
    <row r="7" spans="1:229" ht="26">
      <c r="A7" s="158">
        <v>6</v>
      </c>
      <c r="B7" s="159" t="s">
        <v>293</v>
      </c>
      <c r="C7" s="160" t="s">
        <v>294</v>
      </c>
      <c r="D7" s="160" t="s">
        <v>87</v>
      </c>
      <c r="E7" s="159" t="s">
        <v>784</v>
      </c>
      <c r="F7" s="159" t="s">
        <v>784</v>
      </c>
      <c r="G7" s="159"/>
      <c r="H7" s="161">
        <v>27.161111111111111</v>
      </c>
      <c r="I7" s="161">
        <v>3.5666666666666669</v>
      </c>
      <c r="J7" s="161">
        <v>30.727777777777778</v>
      </c>
      <c r="K7" s="162">
        <v>9</v>
      </c>
      <c r="L7" s="162">
        <v>78</v>
      </c>
      <c r="M7" s="162">
        <v>24</v>
      </c>
      <c r="N7" s="162">
        <v>66</v>
      </c>
      <c r="O7" s="162">
        <v>177</v>
      </c>
      <c r="P7" s="162">
        <v>168</v>
      </c>
      <c r="Q7" s="162">
        <v>111</v>
      </c>
      <c r="R7" s="162">
        <v>2</v>
      </c>
      <c r="S7" s="160">
        <v>8.6111111111111107</v>
      </c>
      <c r="T7" s="160">
        <v>13</v>
      </c>
      <c r="U7" s="160">
        <v>12.777777777777779</v>
      </c>
      <c r="V7" s="160">
        <v>9.15</v>
      </c>
      <c r="W7" s="160">
        <v>13.372222222222222</v>
      </c>
      <c r="X7" s="160">
        <v>11.28888888888889</v>
      </c>
      <c r="Y7" s="160">
        <v>15.772222222222222</v>
      </c>
      <c r="Z7" s="160">
        <v>11.1</v>
      </c>
      <c r="AA7" s="160">
        <v>13</v>
      </c>
      <c r="AB7" s="160">
        <v>16.377777777777776</v>
      </c>
      <c r="AC7" s="160">
        <v>16.627777777777776</v>
      </c>
      <c r="AD7" s="160">
        <v>15.388888888888889</v>
      </c>
      <c r="AE7" s="160">
        <v>16.483333333333334</v>
      </c>
      <c r="AF7" s="160">
        <v>75.361111111111114</v>
      </c>
      <c r="AG7" s="160">
        <v>24.1</v>
      </c>
      <c r="AH7" s="160">
        <v>64.87777777777778</v>
      </c>
      <c r="AI7" s="160">
        <v>108.07222222222221</v>
      </c>
      <c r="AJ7" s="160">
        <v>164.3388888888889</v>
      </c>
      <c r="AK7" s="160">
        <v>172.95</v>
      </c>
      <c r="AL7" s="161">
        <v>19.805555555555557</v>
      </c>
      <c r="AM7" s="161">
        <v>1.4444444444444444</v>
      </c>
      <c r="AN7" s="161">
        <v>21.25</v>
      </c>
      <c r="AO7" s="161">
        <v>174.39444444444445</v>
      </c>
      <c r="AP7" s="162">
        <v>11</v>
      </c>
      <c r="AQ7" s="168">
        <v>8</v>
      </c>
      <c r="AR7" s="160">
        <v>14</v>
      </c>
      <c r="AS7" s="160">
        <v>14</v>
      </c>
      <c r="AT7" s="160">
        <v>10</v>
      </c>
      <c r="AU7" s="160">
        <v>15</v>
      </c>
      <c r="AV7" s="160">
        <v>11</v>
      </c>
      <c r="AW7" s="160">
        <v>19</v>
      </c>
      <c r="AX7" s="160">
        <v>11</v>
      </c>
      <c r="AY7" s="160">
        <v>13</v>
      </c>
      <c r="AZ7" s="160">
        <v>17</v>
      </c>
      <c r="BA7" s="160">
        <v>16</v>
      </c>
      <c r="BB7" s="160">
        <v>18</v>
      </c>
      <c r="BC7" s="160">
        <v>72</v>
      </c>
      <c r="BD7" s="160">
        <v>30</v>
      </c>
      <c r="BE7" s="160">
        <v>64</v>
      </c>
      <c r="BF7" s="160">
        <v>113</v>
      </c>
      <c r="BG7" s="160">
        <v>166</v>
      </c>
      <c r="BH7" s="160">
        <v>177</v>
      </c>
      <c r="BI7" s="160">
        <v>11</v>
      </c>
      <c r="BJ7" s="160">
        <v>0</v>
      </c>
      <c r="BK7" s="160">
        <v>0</v>
      </c>
      <c r="BL7" s="160">
        <v>40</v>
      </c>
      <c r="BM7" s="160">
        <v>19</v>
      </c>
      <c r="BN7" s="162">
        <v>0</v>
      </c>
      <c r="BO7" s="162">
        <v>19</v>
      </c>
      <c r="BP7" s="162">
        <v>0</v>
      </c>
      <c r="BQ7" s="163">
        <v>6.8478260869565211E-2</v>
      </c>
      <c r="BR7" s="164">
        <v>22.007999999999999</v>
      </c>
      <c r="BS7" s="164">
        <v>21.457999999999995</v>
      </c>
      <c r="BT7" s="164">
        <v>21.457999999999995</v>
      </c>
      <c r="BU7" s="164">
        <v>22.007999999999999</v>
      </c>
      <c r="BV7" s="165">
        <v>0</v>
      </c>
      <c r="BW7" s="165">
        <v>0</v>
      </c>
      <c r="BX7" s="166">
        <v>0</v>
      </c>
      <c r="BY7" s="166">
        <v>0</v>
      </c>
      <c r="BZ7" s="166">
        <v>10.9</v>
      </c>
      <c r="CA7" s="166">
        <v>10.9</v>
      </c>
      <c r="CB7" s="166">
        <v>8.094444444444445</v>
      </c>
      <c r="CC7" s="166">
        <v>13.066666666666666</v>
      </c>
      <c r="CD7" s="166">
        <v>14</v>
      </c>
      <c r="CE7" s="166">
        <v>9.9</v>
      </c>
      <c r="CF7" s="166">
        <v>15.255555555555556</v>
      </c>
      <c r="CG7" s="166">
        <v>11.972222222222221</v>
      </c>
      <c r="CH7" s="166">
        <v>18.533333333333335</v>
      </c>
      <c r="CI7" s="166">
        <v>11</v>
      </c>
      <c r="CJ7" s="166">
        <v>12.75</v>
      </c>
      <c r="CK7" s="166">
        <v>17</v>
      </c>
      <c r="CL7" s="166">
        <v>15.744444444444444</v>
      </c>
      <c r="CM7" s="166">
        <v>17.922222222222221</v>
      </c>
      <c r="CN7" s="166">
        <v>72.288888888888891</v>
      </c>
      <c r="CO7" s="166">
        <v>29.533333333333335</v>
      </c>
      <c r="CP7" s="166">
        <v>63.416666666666657</v>
      </c>
      <c r="CQ7" s="166">
        <v>112.72222222222223</v>
      </c>
      <c r="CR7" s="166">
        <v>165.23888888888888</v>
      </c>
      <c r="CS7" s="166">
        <v>176.13888888888889</v>
      </c>
      <c r="CT7" s="166">
        <v>23.622222222222199</v>
      </c>
      <c r="CU7" s="166">
        <v>0</v>
      </c>
      <c r="CV7" s="166">
        <v>23.622222222222199</v>
      </c>
      <c r="CW7" s="166">
        <v>176.13888888888889</v>
      </c>
      <c r="CX7" s="166">
        <v>0</v>
      </c>
      <c r="CY7" s="166">
        <v>6</v>
      </c>
      <c r="CZ7" s="165">
        <v>1</v>
      </c>
      <c r="DA7" s="165">
        <v>7</v>
      </c>
      <c r="DB7" s="165">
        <v>8</v>
      </c>
      <c r="DC7" s="165">
        <v>9</v>
      </c>
      <c r="DD7" s="165">
        <v>12</v>
      </c>
      <c r="DE7" s="165">
        <v>13</v>
      </c>
      <c r="DF7" s="165">
        <v>9</v>
      </c>
      <c r="DG7" s="165">
        <v>15</v>
      </c>
      <c r="DH7" s="165">
        <v>14</v>
      </c>
      <c r="DI7" s="165">
        <v>17</v>
      </c>
      <c r="DJ7" s="165">
        <v>12</v>
      </c>
      <c r="DK7" s="165">
        <v>13</v>
      </c>
      <c r="DL7" s="165">
        <v>16</v>
      </c>
      <c r="DM7" s="165">
        <v>16</v>
      </c>
      <c r="DN7" s="165">
        <v>66</v>
      </c>
      <c r="DO7" s="165">
        <v>31</v>
      </c>
      <c r="DP7" s="165">
        <v>57</v>
      </c>
      <c r="DQ7" s="165">
        <v>104</v>
      </c>
      <c r="DR7" s="165">
        <v>154</v>
      </c>
      <c r="DS7" s="165">
        <v>161</v>
      </c>
      <c r="DT7" s="165">
        <v>0</v>
      </c>
      <c r="DU7" s="165">
        <v>38</v>
      </c>
      <c r="DV7" s="165">
        <v>23</v>
      </c>
      <c r="DW7" s="165">
        <v>1</v>
      </c>
      <c r="DX7" s="165">
        <v>24</v>
      </c>
      <c r="DY7" s="165">
        <v>162</v>
      </c>
      <c r="DZ7" s="165">
        <v>0</v>
      </c>
      <c r="EA7" s="166">
        <v>20.800000000000004</v>
      </c>
      <c r="EB7" s="166">
        <v>20.25</v>
      </c>
      <c r="EC7" s="166">
        <v>7.92</v>
      </c>
      <c r="ED7" s="166">
        <v>9.5300000000000011</v>
      </c>
      <c r="EE7" s="166">
        <v>1</v>
      </c>
      <c r="EF7" s="166">
        <v>22.1</v>
      </c>
      <c r="EG7" s="167">
        <v>7.3958333333333293E-2</v>
      </c>
      <c r="EH7" s="165"/>
      <c r="EI7" s="165">
        <v>6</v>
      </c>
      <c r="EJ7" s="165">
        <v>139</v>
      </c>
      <c r="EK7" s="165"/>
      <c r="EL7" s="165"/>
      <c r="EM7" s="166"/>
      <c r="EN7" s="165">
        <v>145</v>
      </c>
      <c r="EO7" s="165">
        <v>2</v>
      </c>
      <c r="EP7" s="165">
        <v>25</v>
      </c>
      <c r="EQ7" s="165">
        <v>27</v>
      </c>
      <c r="ER7" s="165">
        <v>25</v>
      </c>
      <c r="ES7" s="165">
        <v>0</v>
      </c>
      <c r="ET7" s="165">
        <v>2</v>
      </c>
      <c r="EU7" s="166">
        <v>6.04</v>
      </c>
      <c r="EV7" s="166">
        <v>0</v>
      </c>
      <c r="EW7" s="166">
        <v>2.46</v>
      </c>
      <c r="EX7" s="166">
        <v>0.17</v>
      </c>
      <c r="EY7" s="166">
        <v>12.01</v>
      </c>
      <c r="EZ7" s="166">
        <v>20.68</v>
      </c>
      <c r="FA7" s="166">
        <v>0</v>
      </c>
      <c r="FB7" s="166">
        <v>6.7222222222222223</v>
      </c>
      <c r="FC7" s="166">
        <v>6.7222222222222223</v>
      </c>
      <c r="FD7" s="166">
        <v>8.6833333333333336</v>
      </c>
      <c r="FE7" s="166">
        <v>8.0833333333333339</v>
      </c>
      <c r="FF7" s="166">
        <v>11.638888888888889</v>
      </c>
      <c r="FG7" s="166">
        <v>12.25</v>
      </c>
      <c r="FH7" s="166">
        <v>9.0166666666666675</v>
      </c>
      <c r="FI7" s="166">
        <v>15</v>
      </c>
      <c r="FJ7" s="166">
        <v>12.655555555555555</v>
      </c>
      <c r="FK7" s="166">
        <v>17.466666666666665</v>
      </c>
      <c r="FL7" s="166">
        <v>12</v>
      </c>
      <c r="FM7" s="166">
        <v>12.761111111111111</v>
      </c>
      <c r="FN7" s="166">
        <v>15.433333333333334</v>
      </c>
      <c r="FO7" s="166">
        <v>16</v>
      </c>
      <c r="FP7" s="166">
        <v>64.672222222222217</v>
      </c>
      <c r="FQ7" s="166">
        <v>30.12222222222222</v>
      </c>
      <c r="FR7" s="166">
        <v>56.194444444444443</v>
      </c>
      <c r="FS7" s="166">
        <v>101.51666666666667</v>
      </c>
      <c r="FT7" s="166">
        <v>150.98888888888888</v>
      </c>
      <c r="FU7" s="166">
        <v>157.71111111111111</v>
      </c>
      <c r="FV7" s="166">
        <v>22.972222222222221</v>
      </c>
      <c r="FW7" s="166">
        <v>1.1111111111111112E-2</v>
      </c>
      <c r="FX7" s="166">
        <v>22.983333333333334</v>
      </c>
      <c r="FY7" s="166">
        <v>157.72222222222223</v>
      </c>
      <c r="FZ7" s="165">
        <v>0</v>
      </c>
      <c r="GA7" s="165">
        <v>7</v>
      </c>
      <c r="GB7" s="165">
        <v>7</v>
      </c>
      <c r="GC7" s="165">
        <v>5</v>
      </c>
      <c r="GD7" s="165">
        <v>7</v>
      </c>
      <c r="GE7" s="165">
        <v>7</v>
      </c>
      <c r="GF7" s="165">
        <v>11</v>
      </c>
      <c r="GG7" s="165">
        <v>12</v>
      </c>
      <c r="GH7" s="165">
        <v>10</v>
      </c>
      <c r="GI7" s="165">
        <v>14</v>
      </c>
      <c r="GJ7" s="165">
        <v>11</v>
      </c>
      <c r="GK7" s="165">
        <v>16</v>
      </c>
      <c r="GL7" s="165">
        <v>13</v>
      </c>
      <c r="GM7" s="165">
        <v>13</v>
      </c>
      <c r="GN7" s="165">
        <v>14</v>
      </c>
      <c r="GO7" s="165">
        <v>52</v>
      </c>
      <c r="GP7" s="165">
        <v>25</v>
      </c>
      <c r="GQ7" s="165">
        <v>56</v>
      </c>
      <c r="GR7" s="165">
        <v>84</v>
      </c>
      <c r="GS7" s="165">
        <v>133</v>
      </c>
      <c r="GT7" s="165">
        <v>140</v>
      </c>
      <c r="GU7" s="165">
        <v>0</v>
      </c>
      <c r="GV7" s="165">
        <v>24</v>
      </c>
      <c r="GW7" s="165">
        <v>22</v>
      </c>
      <c r="GX7" s="165">
        <v>0</v>
      </c>
      <c r="GY7" s="165">
        <v>22</v>
      </c>
      <c r="GZ7" s="165">
        <v>140</v>
      </c>
      <c r="HA7" s="165">
        <v>0</v>
      </c>
      <c r="HB7" s="166">
        <v>22.200000000000003</v>
      </c>
      <c r="HC7" s="166">
        <v>21.250000000000004</v>
      </c>
      <c r="HD7" s="166">
        <v>9.59</v>
      </c>
      <c r="HE7" s="166">
        <v>9.86</v>
      </c>
      <c r="HF7" s="166"/>
      <c r="HG7" s="166">
        <v>24.5</v>
      </c>
      <c r="HH7" s="166">
        <v>3</v>
      </c>
      <c r="HI7" s="166">
        <v>26</v>
      </c>
      <c r="HJ7" s="166">
        <v>29</v>
      </c>
      <c r="HK7" s="166">
        <v>26</v>
      </c>
      <c r="HL7" s="166">
        <v>0</v>
      </c>
      <c r="HM7" s="166">
        <v>2</v>
      </c>
      <c r="HN7" s="166">
        <v>7</v>
      </c>
      <c r="HO7" s="166">
        <v>124</v>
      </c>
      <c r="HP7" s="166">
        <v>0</v>
      </c>
      <c r="HQ7" s="166">
        <v>0</v>
      </c>
      <c r="HR7" s="166">
        <v>0</v>
      </c>
      <c r="HS7" s="166">
        <v>131</v>
      </c>
      <c r="HT7" s="166">
        <f>FY26_FE_Data_April15[[#This Row],[Oct 1, 2026 (CDC) - K]]+FY26_FE_Data_April15[[#This Row],[Oct 1, 2026 (CDC) - Grades 1-6]]+FY26_FE_Data_April15[[#This Row],[Oct 1, 2026 (CDC) - Grades 7-8]]</f>
        <v>7</v>
      </c>
      <c r="HU7" s="166">
        <v>0</v>
      </c>
    </row>
    <row r="8" spans="1:229" ht="26">
      <c r="A8" s="158">
        <v>7</v>
      </c>
      <c r="B8" s="159" t="s">
        <v>295</v>
      </c>
      <c r="C8" s="160" t="s">
        <v>296</v>
      </c>
      <c r="D8" s="160" t="s">
        <v>87</v>
      </c>
      <c r="E8" s="159" t="s">
        <v>784</v>
      </c>
      <c r="F8" s="159" t="s">
        <v>784</v>
      </c>
      <c r="G8" s="159"/>
      <c r="H8" s="161">
        <v>7830.7444444444445</v>
      </c>
      <c r="I8" s="161">
        <v>870.86666666666667</v>
      </c>
      <c r="J8" s="161">
        <v>8701.6111111111113</v>
      </c>
      <c r="K8" s="162">
        <v>4304</v>
      </c>
      <c r="L8" s="162">
        <v>31131</v>
      </c>
      <c r="M8" s="162">
        <v>11895</v>
      </c>
      <c r="N8" s="162">
        <v>24234</v>
      </c>
      <c r="O8" s="162">
        <v>71564</v>
      </c>
      <c r="P8" s="162">
        <v>67260</v>
      </c>
      <c r="Q8" s="162">
        <v>47330</v>
      </c>
      <c r="R8" s="162">
        <v>888</v>
      </c>
      <c r="S8" s="160">
        <v>4248.4833333333336</v>
      </c>
      <c r="T8" s="160">
        <v>4942.4222222222224</v>
      </c>
      <c r="U8" s="160">
        <v>4841.1888888888889</v>
      </c>
      <c r="V8" s="160">
        <v>5122.4666666666662</v>
      </c>
      <c r="W8" s="160">
        <v>5250.8555555555558</v>
      </c>
      <c r="X8" s="160">
        <v>5283.4611111111108</v>
      </c>
      <c r="Y8" s="160">
        <v>5319.7388888888891</v>
      </c>
      <c r="Z8" s="160">
        <v>5800.083333333333</v>
      </c>
      <c r="AA8" s="160">
        <v>5860.6833333333334</v>
      </c>
      <c r="AB8" s="160">
        <v>5968.2111111111108</v>
      </c>
      <c r="AC8" s="160">
        <v>6221.8944444444442</v>
      </c>
      <c r="AD8" s="160">
        <v>5824.2055555555553</v>
      </c>
      <c r="AE8" s="160">
        <v>5190.5722222222221</v>
      </c>
      <c r="AF8" s="160">
        <v>30760.133333333335</v>
      </c>
      <c r="AG8" s="160">
        <v>11660.766666666666</v>
      </c>
      <c r="AH8" s="160">
        <v>23204.883333333331</v>
      </c>
      <c r="AI8" s="160">
        <v>46669.383333333339</v>
      </c>
      <c r="AJ8" s="160">
        <v>65625.783333333326</v>
      </c>
      <c r="AK8" s="160">
        <v>69874.266666666663</v>
      </c>
      <c r="AL8" s="161">
        <v>8288.8666666666668</v>
      </c>
      <c r="AM8" s="161">
        <v>882.98333333333335</v>
      </c>
      <c r="AN8" s="161">
        <v>9171.85</v>
      </c>
      <c r="AO8" s="161">
        <v>70757.25</v>
      </c>
      <c r="AP8" s="162">
        <v>4232</v>
      </c>
      <c r="AQ8" s="168">
        <v>4404</v>
      </c>
      <c r="AR8" s="160">
        <v>5024</v>
      </c>
      <c r="AS8" s="160">
        <v>4965</v>
      </c>
      <c r="AT8" s="160">
        <v>5196</v>
      </c>
      <c r="AU8" s="160">
        <v>5375</v>
      </c>
      <c r="AV8" s="160">
        <v>5395</v>
      </c>
      <c r="AW8" s="160">
        <v>5675</v>
      </c>
      <c r="AX8" s="160">
        <v>5901</v>
      </c>
      <c r="AY8" s="160">
        <v>5995</v>
      </c>
      <c r="AZ8" s="160">
        <v>6205</v>
      </c>
      <c r="BA8" s="160">
        <v>6279</v>
      </c>
      <c r="BB8" s="160">
        <v>6057</v>
      </c>
      <c r="BC8" s="160">
        <v>30359</v>
      </c>
      <c r="BD8" s="160">
        <v>11576</v>
      </c>
      <c r="BE8" s="160">
        <v>24536</v>
      </c>
      <c r="BF8" s="160">
        <v>46167</v>
      </c>
      <c r="BG8" s="160">
        <v>66471</v>
      </c>
      <c r="BH8" s="160">
        <v>70703</v>
      </c>
      <c r="BI8" s="160">
        <v>3851</v>
      </c>
      <c r="BJ8" s="160">
        <v>381</v>
      </c>
      <c r="BK8" s="160">
        <v>31</v>
      </c>
      <c r="BL8" s="160">
        <v>13128</v>
      </c>
      <c r="BM8" s="160">
        <v>8526</v>
      </c>
      <c r="BN8" s="162">
        <v>914</v>
      </c>
      <c r="BO8" s="162">
        <v>9440</v>
      </c>
      <c r="BP8" s="162">
        <v>3167</v>
      </c>
      <c r="BQ8" s="163">
        <v>9.3289730449815589E-2</v>
      </c>
      <c r="BR8" s="164">
        <v>3895.2980000000002</v>
      </c>
      <c r="BS8" s="164">
        <v>3692.998</v>
      </c>
      <c r="BT8" s="164">
        <v>3505.4740000000006</v>
      </c>
      <c r="BU8" s="164">
        <v>3864.6099999999988</v>
      </c>
      <c r="BV8" s="165">
        <v>2962</v>
      </c>
      <c r="BW8" s="165">
        <v>198</v>
      </c>
      <c r="BX8" s="166">
        <v>1239.4277770000001</v>
      </c>
      <c r="BY8" s="166">
        <v>382.88888800000001</v>
      </c>
      <c r="BZ8" s="166">
        <v>3830.7388879999999</v>
      </c>
      <c r="CA8" s="166">
        <v>4213.6277777777777</v>
      </c>
      <c r="CB8" s="166">
        <v>4352.1222222222223</v>
      </c>
      <c r="CC8" s="166">
        <v>4968.7555555555555</v>
      </c>
      <c r="CD8" s="166">
        <v>4908.8</v>
      </c>
      <c r="CE8" s="166">
        <v>5147.3944444444442</v>
      </c>
      <c r="CF8" s="166">
        <v>5303.6166666666668</v>
      </c>
      <c r="CG8" s="166">
        <v>5328.6444444444442</v>
      </c>
      <c r="CH8" s="166">
        <v>5579.5666666666666</v>
      </c>
      <c r="CI8" s="166">
        <v>5767.3833333333332</v>
      </c>
      <c r="CJ8" s="166">
        <v>5879.9722222222226</v>
      </c>
      <c r="CK8" s="166">
        <v>6096.6888888888889</v>
      </c>
      <c r="CL8" s="166">
        <v>6088.2722222222219</v>
      </c>
      <c r="CM8" s="166">
        <v>5350.9444444444443</v>
      </c>
      <c r="CN8" s="166">
        <v>30009.333333333336</v>
      </c>
      <c r="CO8" s="166">
        <v>11346.95</v>
      </c>
      <c r="CP8" s="166">
        <v>23415.87777777778</v>
      </c>
      <c r="CQ8" s="166">
        <v>45569.911111111105</v>
      </c>
      <c r="CR8" s="166">
        <v>64772.161111111112</v>
      </c>
      <c r="CS8" s="166">
        <v>68985.788888888885</v>
      </c>
      <c r="CT8" s="166">
        <v>8591.8111111111102</v>
      </c>
      <c r="CU8" s="166">
        <v>871.87777777777796</v>
      </c>
      <c r="CV8" s="166">
        <v>9463.688888888888</v>
      </c>
      <c r="CW8" s="166">
        <v>69857.666666666657</v>
      </c>
      <c r="CX8" s="166">
        <v>1204.0944440000001</v>
      </c>
      <c r="CY8" s="166">
        <v>3915</v>
      </c>
      <c r="CZ8" s="165">
        <v>153</v>
      </c>
      <c r="DA8" s="165">
        <v>4068</v>
      </c>
      <c r="DB8" s="165">
        <v>4328</v>
      </c>
      <c r="DC8" s="165">
        <v>4478</v>
      </c>
      <c r="DD8" s="165">
        <v>5089</v>
      </c>
      <c r="DE8" s="165">
        <v>5020</v>
      </c>
      <c r="DF8" s="165">
        <v>5238</v>
      </c>
      <c r="DG8" s="165">
        <v>5406</v>
      </c>
      <c r="DH8" s="165">
        <v>5727</v>
      </c>
      <c r="DI8" s="165">
        <v>5716</v>
      </c>
      <c r="DJ8" s="165">
        <v>5867</v>
      </c>
      <c r="DK8" s="165">
        <v>6224</v>
      </c>
      <c r="DL8" s="165">
        <v>6113</v>
      </c>
      <c r="DM8" s="165">
        <v>6328</v>
      </c>
      <c r="DN8" s="165">
        <v>29559</v>
      </c>
      <c r="DO8" s="165">
        <v>11443</v>
      </c>
      <c r="DP8" s="165">
        <v>24532</v>
      </c>
      <c r="DQ8" s="165">
        <v>45070</v>
      </c>
      <c r="DR8" s="165">
        <v>65534</v>
      </c>
      <c r="DS8" s="165">
        <v>69602</v>
      </c>
      <c r="DT8" s="165">
        <v>31</v>
      </c>
      <c r="DU8" s="165">
        <v>13152</v>
      </c>
      <c r="DV8" s="165">
        <v>8876</v>
      </c>
      <c r="DW8" s="165">
        <v>897</v>
      </c>
      <c r="DX8" s="165">
        <v>9773</v>
      </c>
      <c r="DY8" s="165">
        <v>70499</v>
      </c>
      <c r="DZ8" s="165">
        <v>3206</v>
      </c>
      <c r="EA8" s="166">
        <v>3917.8179999999988</v>
      </c>
      <c r="EB8" s="166">
        <v>3692.0879999999988</v>
      </c>
      <c r="EC8" s="166">
        <v>1626.3040000000003</v>
      </c>
      <c r="ED8" s="166">
        <v>1493.7490000000012</v>
      </c>
      <c r="EE8" s="166">
        <v>0</v>
      </c>
      <c r="EF8" s="166">
        <v>3969.8280000000022</v>
      </c>
      <c r="EG8" s="167">
        <v>9.4095447857248937E-2</v>
      </c>
      <c r="EH8" s="165"/>
      <c r="EI8" s="165">
        <v>3951</v>
      </c>
      <c r="EJ8" s="165">
        <v>63649</v>
      </c>
      <c r="EK8" s="165"/>
      <c r="EL8" s="165"/>
      <c r="EM8" s="166"/>
      <c r="EN8" s="165">
        <v>67600</v>
      </c>
      <c r="EO8" s="165">
        <v>849</v>
      </c>
      <c r="EP8" s="165">
        <v>9722</v>
      </c>
      <c r="EQ8" s="165">
        <v>10571</v>
      </c>
      <c r="ER8" s="165">
        <v>8809</v>
      </c>
      <c r="ES8" s="165">
        <v>913</v>
      </c>
      <c r="ET8" s="165">
        <v>132</v>
      </c>
      <c r="EU8" s="166">
        <v>1674.33</v>
      </c>
      <c r="EV8" s="166">
        <v>50.9</v>
      </c>
      <c r="EW8" s="166">
        <v>220.14</v>
      </c>
      <c r="EX8" s="166">
        <v>41.58</v>
      </c>
      <c r="EY8" s="166">
        <v>1066.1099999999999</v>
      </c>
      <c r="EZ8" s="166">
        <v>3053.0599999999995</v>
      </c>
      <c r="FA8" s="166">
        <v>143.25555555555556</v>
      </c>
      <c r="FB8" s="166">
        <v>3874.3222222222221</v>
      </c>
      <c r="FC8" s="166">
        <v>4017.5777777777776</v>
      </c>
      <c r="FD8" s="166">
        <v>4246.2388888888891</v>
      </c>
      <c r="FE8" s="166">
        <v>4395.3722222222223</v>
      </c>
      <c r="FF8" s="166">
        <v>5013.7944444444447</v>
      </c>
      <c r="FG8" s="166">
        <v>4937.3</v>
      </c>
      <c r="FH8" s="166">
        <v>5179.4722222222226</v>
      </c>
      <c r="FI8" s="166">
        <v>5335.0611111111111</v>
      </c>
      <c r="FJ8" s="166">
        <v>5622.0333333333338</v>
      </c>
      <c r="FK8" s="166">
        <v>5599.333333333333</v>
      </c>
      <c r="FL8" s="166">
        <v>5732.0444444444447</v>
      </c>
      <c r="FM8" s="166">
        <v>6075.8111111111111</v>
      </c>
      <c r="FN8" s="166">
        <v>5946.166666666667</v>
      </c>
      <c r="FO8" s="166">
        <v>5558.3166666666666</v>
      </c>
      <c r="FP8" s="166">
        <v>29107.238888888889</v>
      </c>
      <c r="FQ8" s="166">
        <v>11221.366666666667</v>
      </c>
      <c r="FR8" s="166">
        <v>23312.338888888888</v>
      </c>
      <c r="FS8" s="166">
        <v>44346.183333333334</v>
      </c>
      <c r="FT8" s="166">
        <v>63640.944444444445</v>
      </c>
      <c r="FU8" s="166">
        <v>67658.522222222222</v>
      </c>
      <c r="FV8" s="166">
        <v>8743.7111111111117</v>
      </c>
      <c r="FW8" s="166">
        <v>917.78888888888889</v>
      </c>
      <c r="FX8" s="166">
        <v>9661.5</v>
      </c>
      <c r="FY8" s="166">
        <v>68576.311111111107</v>
      </c>
      <c r="FZ8" s="165">
        <v>86</v>
      </c>
      <c r="GA8" s="165">
        <v>3555</v>
      </c>
      <c r="GB8" s="165">
        <v>3641</v>
      </c>
      <c r="GC8" s="165">
        <v>4020</v>
      </c>
      <c r="GD8" s="165">
        <v>4306</v>
      </c>
      <c r="GE8" s="165">
        <v>4472</v>
      </c>
      <c r="GF8" s="165">
        <v>5082</v>
      </c>
      <c r="GG8" s="165">
        <v>4993</v>
      </c>
      <c r="GH8" s="165">
        <v>5237</v>
      </c>
      <c r="GI8" s="165">
        <v>5789</v>
      </c>
      <c r="GJ8" s="165">
        <v>5750</v>
      </c>
      <c r="GK8" s="165">
        <v>5766</v>
      </c>
      <c r="GL8" s="165">
        <v>6053</v>
      </c>
      <c r="GM8" s="165">
        <v>6146</v>
      </c>
      <c r="GN8" s="165">
        <v>6211</v>
      </c>
      <c r="GO8" s="165">
        <v>28110</v>
      </c>
      <c r="GP8" s="165">
        <v>11539</v>
      </c>
      <c r="GQ8" s="165">
        <v>24176</v>
      </c>
      <c r="GR8" s="165">
        <v>43290</v>
      </c>
      <c r="GS8" s="165">
        <v>63825</v>
      </c>
      <c r="GT8" s="165">
        <v>67466</v>
      </c>
      <c r="GU8" s="165">
        <v>33</v>
      </c>
      <c r="GV8" s="165">
        <v>12844</v>
      </c>
      <c r="GW8" s="165">
        <v>8647</v>
      </c>
      <c r="GX8" s="165">
        <v>1032</v>
      </c>
      <c r="GY8" s="165">
        <v>9679</v>
      </c>
      <c r="GZ8" s="165">
        <v>68498</v>
      </c>
      <c r="HA8" s="165">
        <v>3057</v>
      </c>
      <c r="HB8" s="166">
        <v>3973.0669999999977</v>
      </c>
      <c r="HC8" s="166">
        <v>3728.3679999999981</v>
      </c>
      <c r="HD8" s="166">
        <v>1644.4899999999993</v>
      </c>
      <c r="HE8" s="166">
        <v>1456.4409999999996</v>
      </c>
      <c r="HF8" s="166"/>
      <c r="HG8" s="166">
        <v>3992.6990000000001</v>
      </c>
      <c r="HH8" s="166">
        <v>769</v>
      </c>
      <c r="HI8" s="166">
        <v>9665</v>
      </c>
      <c r="HJ8" s="166">
        <v>10434</v>
      </c>
      <c r="HK8" s="166">
        <v>8547</v>
      </c>
      <c r="HL8" s="166">
        <v>1118</v>
      </c>
      <c r="HM8" s="166">
        <v>169</v>
      </c>
      <c r="HN8" s="166">
        <v>3524</v>
      </c>
      <c r="HO8" s="166">
        <v>61781</v>
      </c>
      <c r="HP8" s="166">
        <v>0</v>
      </c>
      <c r="HQ8" s="166">
        <v>0</v>
      </c>
      <c r="HR8" s="166">
        <v>0</v>
      </c>
      <c r="HS8" s="166">
        <v>65305</v>
      </c>
      <c r="HT8" s="166">
        <f>FY26_FE_Data_April15[[#This Row],[Oct 1, 2026 (CDC) - K]]+FY26_FE_Data_April15[[#This Row],[Oct 1, 2026 (CDC) - Grades 1-6]]+FY26_FE_Data_April15[[#This Row],[Oct 1, 2026 (CDC) - Grades 7-8]]</f>
        <v>3524</v>
      </c>
      <c r="HU8" s="166">
        <v>1191.011111</v>
      </c>
    </row>
    <row r="9" spans="1:229" ht="26">
      <c r="A9" s="158">
        <v>8</v>
      </c>
      <c r="B9" s="159" t="s">
        <v>297</v>
      </c>
      <c r="C9" s="160" t="s">
        <v>298</v>
      </c>
      <c r="D9" s="160" t="s">
        <v>87</v>
      </c>
      <c r="E9" s="159" t="s">
        <v>784</v>
      </c>
      <c r="F9" s="159" t="s">
        <v>784</v>
      </c>
      <c r="G9" s="159"/>
      <c r="H9" s="161">
        <v>828.65555555555557</v>
      </c>
      <c r="I9" s="161">
        <v>125.00555555555556</v>
      </c>
      <c r="J9" s="161">
        <v>953.66111111111115</v>
      </c>
      <c r="K9" s="162">
        <v>360</v>
      </c>
      <c r="L9" s="162">
        <v>2338</v>
      </c>
      <c r="M9" s="162">
        <v>841</v>
      </c>
      <c r="N9" s="162">
        <v>1685</v>
      </c>
      <c r="O9" s="162">
        <v>5224</v>
      </c>
      <c r="P9" s="162">
        <v>4864</v>
      </c>
      <c r="Q9" s="162">
        <v>3539</v>
      </c>
      <c r="R9" s="162">
        <v>126</v>
      </c>
      <c r="S9" s="160">
        <v>347.52222222222224</v>
      </c>
      <c r="T9" s="160">
        <v>351.76666666666665</v>
      </c>
      <c r="U9" s="160">
        <v>375.95555555555558</v>
      </c>
      <c r="V9" s="160">
        <v>381.68333333333334</v>
      </c>
      <c r="W9" s="160">
        <v>420.06666666666666</v>
      </c>
      <c r="X9" s="160">
        <v>368.30555555555554</v>
      </c>
      <c r="Y9" s="160">
        <v>374.99444444444447</v>
      </c>
      <c r="Z9" s="160">
        <v>391.88333333333333</v>
      </c>
      <c r="AA9" s="160">
        <v>412.13888888888891</v>
      </c>
      <c r="AB9" s="160">
        <v>474.45</v>
      </c>
      <c r="AC9" s="160">
        <v>412.11111111111109</v>
      </c>
      <c r="AD9" s="160">
        <v>374.48333333333335</v>
      </c>
      <c r="AE9" s="160">
        <v>278.40555555555557</v>
      </c>
      <c r="AF9" s="160">
        <v>2272.7722222222224</v>
      </c>
      <c r="AG9" s="160">
        <v>804.02222222222224</v>
      </c>
      <c r="AH9" s="160">
        <v>1539.45</v>
      </c>
      <c r="AI9" s="160">
        <v>3424.3166666666666</v>
      </c>
      <c r="AJ9" s="160">
        <v>4616.2444444444445</v>
      </c>
      <c r="AK9" s="160">
        <v>4963.7666666666664</v>
      </c>
      <c r="AL9" s="161">
        <v>866.79444444444448</v>
      </c>
      <c r="AM9" s="161">
        <v>125.29444444444445</v>
      </c>
      <c r="AN9" s="161">
        <v>992.08888888888896</v>
      </c>
      <c r="AO9" s="161">
        <v>5089.0611111111111</v>
      </c>
      <c r="AP9" s="162">
        <v>367</v>
      </c>
      <c r="AQ9" s="168">
        <v>352</v>
      </c>
      <c r="AR9" s="160">
        <v>352</v>
      </c>
      <c r="AS9" s="160">
        <v>371</v>
      </c>
      <c r="AT9" s="160">
        <v>382</v>
      </c>
      <c r="AU9" s="160">
        <v>428</v>
      </c>
      <c r="AV9" s="160">
        <v>380</v>
      </c>
      <c r="AW9" s="160">
        <v>391</v>
      </c>
      <c r="AX9" s="160">
        <v>413</v>
      </c>
      <c r="AY9" s="160">
        <v>445</v>
      </c>
      <c r="AZ9" s="160">
        <v>472</v>
      </c>
      <c r="BA9" s="160">
        <v>411</v>
      </c>
      <c r="BB9" s="160">
        <v>379</v>
      </c>
      <c r="BC9" s="160">
        <v>2265</v>
      </c>
      <c r="BD9" s="160">
        <v>804</v>
      </c>
      <c r="BE9" s="160">
        <v>1707</v>
      </c>
      <c r="BF9" s="160">
        <v>3436</v>
      </c>
      <c r="BG9" s="160">
        <v>4776</v>
      </c>
      <c r="BH9" s="160">
        <v>5143</v>
      </c>
      <c r="BI9" s="160">
        <v>356</v>
      </c>
      <c r="BJ9" s="160">
        <v>11</v>
      </c>
      <c r="BK9" s="160">
        <v>3</v>
      </c>
      <c r="BL9" s="160">
        <v>1999</v>
      </c>
      <c r="BM9" s="160">
        <v>888</v>
      </c>
      <c r="BN9" s="162">
        <v>123</v>
      </c>
      <c r="BO9" s="162">
        <v>1011</v>
      </c>
      <c r="BP9" s="162">
        <v>128</v>
      </c>
      <c r="BQ9" s="163">
        <v>9.2211698155377775E-2</v>
      </c>
      <c r="BR9" s="164">
        <v>332.46199999999999</v>
      </c>
      <c r="BS9" s="164">
        <v>313.46200000000005</v>
      </c>
      <c r="BT9" s="164">
        <v>296.91200000000003</v>
      </c>
      <c r="BU9" s="164">
        <v>330.09200000000004</v>
      </c>
      <c r="BV9" s="165">
        <v>0</v>
      </c>
      <c r="BW9" s="165">
        <v>15</v>
      </c>
      <c r="BX9" s="166">
        <v>152.41666599999999</v>
      </c>
      <c r="BY9" s="166">
        <v>7.8555549999999998</v>
      </c>
      <c r="BZ9" s="166">
        <v>354.7</v>
      </c>
      <c r="CA9" s="166">
        <v>362.55555555555554</v>
      </c>
      <c r="CB9" s="166">
        <v>343.26666666666665</v>
      </c>
      <c r="CC9" s="166">
        <v>337.3</v>
      </c>
      <c r="CD9" s="166">
        <v>371.27222222222224</v>
      </c>
      <c r="CE9" s="166">
        <v>366.89444444444445</v>
      </c>
      <c r="CF9" s="166">
        <v>423.5888888888889</v>
      </c>
      <c r="CG9" s="166">
        <v>356.3</v>
      </c>
      <c r="CH9" s="166">
        <v>368.97222222222223</v>
      </c>
      <c r="CI9" s="166">
        <v>397.00555555555553</v>
      </c>
      <c r="CJ9" s="166">
        <v>426.23888888888888</v>
      </c>
      <c r="CK9" s="166">
        <v>450</v>
      </c>
      <c r="CL9" s="166">
        <v>383.61666666666667</v>
      </c>
      <c r="CM9" s="166">
        <v>289.67222222222222</v>
      </c>
      <c r="CN9" s="166">
        <v>2198.6222222222223</v>
      </c>
      <c r="CO9" s="166">
        <v>765.97777777777776</v>
      </c>
      <c r="CP9" s="166">
        <v>1549.5277777777776</v>
      </c>
      <c r="CQ9" s="166">
        <v>3327.1555555555556</v>
      </c>
      <c r="CR9" s="166">
        <v>4514.1277777777777</v>
      </c>
      <c r="CS9" s="166">
        <v>4876.6833333333334</v>
      </c>
      <c r="CT9" s="166">
        <v>874.53333333333296</v>
      </c>
      <c r="CU9" s="166">
        <v>123.37777777777799</v>
      </c>
      <c r="CV9" s="166">
        <v>997.91111111111093</v>
      </c>
      <c r="CW9" s="166">
        <v>5000.0611111111111</v>
      </c>
      <c r="CX9" s="166">
        <v>147.37777700000001</v>
      </c>
      <c r="CY9" s="166">
        <v>341</v>
      </c>
      <c r="CZ9" s="165">
        <v>7</v>
      </c>
      <c r="DA9" s="165">
        <v>348</v>
      </c>
      <c r="DB9" s="165">
        <v>368</v>
      </c>
      <c r="DC9" s="165">
        <v>353</v>
      </c>
      <c r="DD9" s="165">
        <v>350</v>
      </c>
      <c r="DE9" s="165">
        <v>385</v>
      </c>
      <c r="DF9" s="165">
        <v>381</v>
      </c>
      <c r="DG9" s="165">
        <v>430</v>
      </c>
      <c r="DH9" s="165">
        <v>374</v>
      </c>
      <c r="DI9" s="165">
        <v>395</v>
      </c>
      <c r="DJ9" s="165">
        <v>449</v>
      </c>
      <c r="DK9" s="165">
        <v>449</v>
      </c>
      <c r="DL9" s="165">
        <v>442</v>
      </c>
      <c r="DM9" s="165">
        <v>380</v>
      </c>
      <c r="DN9" s="165">
        <v>2267</v>
      </c>
      <c r="DO9" s="165">
        <v>769</v>
      </c>
      <c r="DP9" s="165">
        <v>1720</v>
      </c>
      <c r="DQ9" s="165">
        <v>3384</v>
      </c>
      <c r="DR9" s="165">
        <v>4756</v>
      </c>
      <c r="DS9" s="165">
        <v>5104</v>
      </c>
      <c r="DT9" s="165">
        <v>1</v>
      </c>
      <c r="DU9" s="165">
        <v>1831</v>
      </c>
      <c r="DV9" s="165">
        <v>869</v>
      </c>
      <c r="DW9" s="165">
        <v>120</v>
      </c>
      <c r="DX9" s="165">
        <v>989</v>
      </c>
      <c r="DY9" s="165">
        <v>5224</v>
      </c>
      <c r="DZ9" s="165">
        <v>120</v>
      </c>
      <c r="EA9" s="166">
        <v>334.63600000000002</v>
      </c>
      <c r="EB9" s="166">
        <v>316.63600000000008</v>
      </c>
      <c r="EC9" s="166">
        <v>145.233</v>
      </c>
      <c r="ED9" s="166">
        <v>128.24800000000002</v>
      </c>
      <c r="EE9" s="166">
        <v>1</v>
      </c>
      <c r="EF9" s="166">
        <v>343.01600000000002</v>
      </c>
      <c r="EG9" s="167">
        <v>9.4805243910479786E-2</v>
      </c>
      <c r="EH9" s="165"/>
      <c r="EI9" s="165">
        <v>342</v>
      </c>
      <c r="EJ9" s="165">
        <v>4667</v>
      </c>
      <c r="EK9" s="165"/>
      <c r="EL9" s="165"/>
      <c r="EM9" s="166"/>
      <c r="EN9" s="165">
        <v>5009</v>
      </c>
      <c r="EO9" s="165">
        <v>80</v>
      </c>
      <c r="EP9" s="165">
        <v>979</v>
      </c>
      <c r="EQ9" s="165">
        <v>1059</v>
      </c>
      <c r="ER9" s="165">
        <v>862</v>
      </c>
      <c r="ES9" s="165">
        <v>117</v>
      </c>
      <c r="ET9" s="165">
        <v>22</v>
      </c>
      <c r="EU9" s="166">
        <v>179.45599999999999</v>
      </c>
      <c r="EV9" s="166">
        <v>7.625</v>
      </c>
      <c r="EW9" s="166">
        <v>22.2</v>
      </c>
      <c r="EX9" s="166">
        <v>1.0680000000000001</v>
      </c>
      <c r="EY9" s="166">
        <v>105.99299999999999</v>
      </c>
      <c r="EZ9" s="166">
        <v>316.34199999999998</v>
      </c>
      <c r="FA9" s="166">
        <v>7.0666666666666664</v>
      </c>
      <c r="FB9" s="166">
        <v>331.59444444444443</v>
      </c>
      <c r="FC9" s="166">
        <v>338.6611111111111</v>
      </c>
      <c r="FD9" s="166">
        <v>361.92777777777781</v>
      </c>
      <c r="FE9" s="166">
        <v>342.19444444444446</v>
      </c>
      <c r="FF9" s="166">
        <v>335.8</v>
      </c>
      <c r="FG9" s="166">
        <v>375.98888888888888</v>
      </c>
      <c r="FH9" s="166">
        <v>368.71111111111111</v>
      </c>
      <c r="FI9" s="166">
        <v>417.79444444444442</v>
      </c>
      <c r="FJ9" s="166">
        <v>351.02222222222224</v>
      </c>
      <c r="FK9" s="166">
        <v>370.98888888888888</v>
      </c>
      <c r="FL9" s="166">
        <v>425.67777777777781</v>
      </c>
      <c r="FM9" s="166">
        <v>417.75</v>
      </c>
      <c r="FN9" s="166">
        <v>421.80555555555554</v>
      </c>
      <c r="FO9" s="166">
        <v>288.48333333333335</v>
      </c>
      <c r="FP9" s="166">
        <v>2202.4166666666665</v>
      </c>
      <c r="FQ9" s="166">
        <v>722.01111111111118</v>
      </c>
      <c r="FR9" s="166">
        <v>1553.7166666666667</v>
      </c>
      <c r="FS9" s="166">
        <v>3263.088888888889</v>
      </c>
      <c r="FT9" s="166">
        <v>4478.1444444444451</v>
      </c>
      <c r="FU9" s="166">
        <v>4816.8055555555557</v>
      </c>
      <c r="FV9" s="166">
        <v>872.08333333333337</v>
      </c>
      <c r="FW9" s="166">
        <v>116.13888888888889</v>
      </c>
      <c r="FX9" s="166">
        <v>988.22222222222229</v>
      </c>
      <c r="FY9" s="166">
        <v>4932.9444444444443</v>
      </c>
      <c r="FZ9" s="165">
        <v>4</v>
      </c>
      <c r="GA9" s="165">
        <v>331</v>
      </c>
      <c r="GB9" s="165">
        <v>335</v>
      </c>
      <c r="GC9" s="165">
        <v>333</v>
      </c>
      <c r="GD9" s="165">
        <v>364</v>
      </c>
      <c r="GE9" s="165">
        <v>353</v>
      </c>
      <c r="GF9" s="165">
        <v>339</v>
      </c>
      <c r="GG9" s="165">
        <v>373</v>
      </c>
      <c r="GH9" s="165">
        <v>380</v>
      </c>
      <c r="GI9" s="165">
        <v>426</v>
      </c>
      <c r="GJ9" s="165">
        <v>363</v>
      </c>
      <c r="GK9" s="165">
        <v>426</v>
      </c>
      <c r="GL9" s="165">
        <v>434</v>
      </c>
      <c r="GM9" s="165">
        <v>398</v>
      </c>
      <c r="GN9" s="165">
        <v>418</v>
      </c>
      <c r="GO9" s="165">
        <v>2142</v>
      </c>
      <c r="GP9" s="165">
        <v>789</v>
      </c>
      <c r="GQ9" s="165">
        <v>1676</v>
      </c>
      <c r="GR9" s="165">
        <v>3266</v>
      </c>
      <c r="GS9" s="165">
        <v>4607</v>
      </c>
      <c r="GT9" s="165">
        <v>4942</v>
      </c>
      <c r="GU9" s="165">
        <v>4</v>
      </c>
      <c r="GV9" s="165">
        <v>1622</v>
      </c>
      <c r="GW9" s="165">
        <v>895</v>
      </c>
      <c r="GX9" s="165">
        <v>109</v>
      </c>
      <c r="GY9" s="165">
        <v>1004</v>
      </c>
      <c r="GZ9" s="165">
        <v>5051</v>
      </c>
      <c r="HA9" s="165">
        <v>140</v>
      </c>
      <c r="HB9" s="166">
        <v>333.92799999999994</v>
      </c>
      <c r="HC9" s="166">
        <v>314.928</v>
      </c>
      <c r="HD9" s="166">
        <v>140.79499999999996</v>
      </c>
      <c r="HE9" s="166">
        <v>119.90600000000002</v>
      </c>
      <c r="HF9" s="166"/>
      <c r="HG9" s="166">
        <v>337.928</v>
      </c>
      <c r="HH9" s="166">
        <v>67</v>
      </c>
      <c r="HI9" s="166">
        <v>987</v>
      </c>
      <c r="HJ9" s="166">
        <v>1054</v>
      </c>
      <c r="HK9" s="166">
        <v>880</v>
      </c>
      <c r="HL9" s="166">
        <v>107</v>
      </c>
      <c r="HM9" s="166">
        <v>15</v>
      </c>
      <c r="HN9" s="166">
        <v>325</v>
      </c>
      <c r="HO9" s="166">
        <v>4475</v>
      </c>
      <c r="HP9" s="166">
        <v>0</v>
      </c>
      <c r="HQ9" s="166">
        <v>0</v>
      </c>
      <c r="HR9" s="166">
        <v>0</v>
      </c>
      <c r="HS9" s="166">
        <v>4800</v>
      </c>
      <c r="HT9" s="166">
        <f>FY26_FE_Data_April15[[#This Row],[Oct 1, 2026 (CDC) - K]]+FY26_FE_Data_April15[[#This Row],[Oct 1, 2026 (CDC) - Grades 1-6]]+FY26_FE_Data_April15[[#This Row],[Oct 1, 2026 (CDC) - Grades 7-8]]</f>
        <v>325</v>
      </c>
      <c r="HU9" s="166">
        <v>139.838888</v>
      </c>
    </row>
    <row r="10" spans="1:229" ht="26">
      <c r="A10" s="158">
        <v>9</v>
      </c>
      <c r="B10" s="159" t="s">
        <v>299</v>
      </c>
      <c r="C10" s="160" t="s">
        <v>300</v>
      </c>
      <c r="D10" s="160" t="s">
        <v>87</v>
      </c>
      <c r="E10" s="159" t="s">
        <v>784</v>
      </c>
      <c r="F10" s="159" t="s">
        <v>784</v>
      </c>
      <c r="G10" s="159"/>
      <c r="H10" s="161">
        <v>376.78888888888889</v>
      </c>
      <c r="I10" s="161">
        <v>28.038888888888888</v>
      </c>
      <c r="J10" s="161">
        <v>404.82777777777778</v>
      </c>
      <c r="K10" s="162">
        <v>139</v>
      </c>
      <c r="L10" s="162">
        <v>923</v>
      </c>
      <c r="M10" s="162">
        <v>329</v>
      </c>
      <c r="N10" s="162">
        <v>694</v>
      </c>
      <c r="O10" s="162">
        <v>2085</v>
      </c>
      <c r="P10" s="162">
        <v>1946</v>
      </c>
      <c r="Q10" s="162">
        <v>1391</v>
      </c>
      <c r="R10" s="162">
        <v>30</v>
      </c>
      <c r="S10" s="160">
        <v>136.69444444444446</v>
      </c>
      <c r="T10" s="160">
        <v>128.39444444444445</v>
      </c>
      <c r="U10" s="160">
        <v>166.65</v>
      </c>
      <c r="V10" s="160">
        <v>140.322222222222</v>
      </c>
      <c r="W10" s="160">
        <v>159.62777777777777</v>
      </c>
      <c r="X10" s="160">
        <v>155.9</v>
      </c>
      <c r="Y10" s="160">
        <v>152.73333333333332</v>
      </c>
      <c r="Z10" s="160">
        <v>152.31666666666666</v>
      </c>
      <c r="AA10" s="160">
        <v>170.67222222222222</v>
      </c>
      <c r="AB10" s="160">
        <v>178.89444444444445</v>
      </c>
      <c r="AC10" s="160">
        <v>171.1611111111111</v>
      </c>
      <c r="AD10" s="160">
        <v>158.11111111111111</v>
      </c>
      <c r="AE10" s="160">
        <v>136.46666666666667</v>
      </c>
      <c r="AF10" s="160">
        <v>903.62777777777774</v>
      </c>
      <c r="AG10" s="160">
        <v>322.98888888888888</v>
      </c>
      <c r="AH10" s="160">
        <v>644.63333333333333</v>
      </c>
      <c r="AI10" s="160">
        <v>1363.3111111111109</v>
      </c>
      <c r="AJ10" s="160">
        <v>1871.2499999999998</v>
      </c>
      <c r="AK10" s="160">
        <v>2007.9444444444441</v>
      </c>
      <c r="AL10" s="161">
        <v>354.35555555555555</v>
      </c>
      <c r="AM10" s="161">
        <v>29.388888888888889</v>
      </c>
      <c r="AN10" s="161">
        <v>383.74444444444447</v>
      </c>
      <c r="AO10" s="161">
        <v>2037.333333333333</v>
      </c>
      <c r="AP10" s="162">
        <v>150</v>
      </c>
      <c r="AQ10" s="168">
        <v>137</v>
      </c>
      <c r="AR10" s="160">
        <v>130</v>
      </c>
      <c r="AS10" s="160">
        <v>170</v>
      </c>
      <c r="AT10" s="160">
        <v>136</v>
      </c>
      <c r="AU10" s="160">
        <v>168</v>
      </c>
      <c r="AV10" s="160">
        <v>163</v>
      </c>
      <c r="AW10" s="160">
        <v>161</v>
      </c>
      <c r="AX10" s="160">
        <v>161</v>
      </c>
      <c r="AY10" s="160">
        <v>182</v>
      </c>
      <c r="AZ10" s="160">
        <v>179</v>
      </c>
      <c r="BA10" s="160">
        <v>165</v>
      </c>
      <c r="BB10" s="160">
        <v>156</v>
      </c>
      <c r="BC10" s="160">
        <v>904</v>
      </c>
      <c r="BD10" s="160">
        <v>322</v>
      </c>
      <c r="BE10" s="160">
        <v>682</v>
      </c>
      <c r="BF10" s="160">
        <v>1376</v>
      </c>
      <c r="BG10" s="160">
        <v>1908</v>
      </c>
      <c r="BH10" s="160">
        <v>2058</v>
      </c>
      <c r="BI10" s="160">
        <v>150</v>
      </c>
      <c r="BJ10" s="160">
        <v>0</v>
      </c>
      <c r="BK10" s="160">
        <v>4</v>
      </c>
      <c r="BL10" s="160">
        <v>942</v>
      </c>
      <c r="BM10" s="160">
        <v>354</v>
      </c>
      <c r="BN10" s="162">
        <v>26</v>
      </c>
      <c r="BO10" s="162">
        <v>380</v>
      </c>
      <c r="BP10" s="162">
        <v>62</v>
      </c>
      <c r="BQ10" s="163">
        <v>8.9690241834402495E-2</v>
      </c>
      <c r="BR10" s="164">
        <v>147.63999999999999</v>
      </c>
      <c r="BS10" s="164">
        <v>136.63999999999999</v>
      </c>
      <c r="BT10" s="164">
        <v>133.68</v>
      </c>
      <c r="BU10" s="164">
        <v>151.13999999999999</v>
      </c>
      <c r="BV10" s="165">
        <v>0</v>
      </c>
      <c r="BW10" s="165">
        <v>0</v>
      </c>
      <c r="BX10" s="166">
        <v>0</v>
      </c>
      <c r="BY10" s="166">
        <v>31.705555</v>
      </c>
      <c r="BZ10" s="166">
        <v>113.955555</v>
      </c>
      <c r="CA10" s="166">
        <v>145.6611111111111</v>
      </c>
      <c r="CB10" s="166">
        <v>132.98888888888888</v>
      </c>
      <c r="CC10" s="166">
        <v>128.04444444444445</v>
      </c>
      <c r="CD10" s="166">
        <v>164.42222222222222</v>
      </c>
      <c r="CE10" s="166">
        <v>132.36111111111111</v>
      </c>
      <c r="CF10" s="166">
        <v>163.01111111111112</v>
      </c>
      <c r="CG10" s="166">
        <v>159.97222222222223</v>
      </c>
      <c r="CH10" s="166">
        <v>153.82777777777778</v>
      </c>
      <c r="CI10" s="166">
        <v>151.72777777777779</v>
      </c>
      <c r="CJ10" s="166">
        <v>177.80555555555554</v>
      </c>
      <c r="CK10" s="166">
        <v>173.17222222222222</v>
      </c>
      <c r="CL10" s="166">
        <v>160.22777777777779</v>
      </c>
      <c r="CM10" s="166">
        <v>124.26111111111111</v>
      </c>
      <c r="CN10" s="166">
        <v>880.8</v>
      </c>
      <c r="CO10" s="166">
        <v>305.55555555555554</v>
      </c>
      <c r="CP10" s="166">
        <v>635.46666666666658</v>
      </c>
      <c r="CQ10" s="166">
        <v>1332.0166666666667</v>
      </c>
      <c r="CR10" s="166">
        <v>1821.8222222222223</v>
      </c>
      <c r="CS10" s="166">
        <v>1967.4833333333333</v>
      </c>
      <c r="CT10" s="166">
        <v>351.722222222222</v>
      </c>
      <c r="CU10" s="166">
        <v>24.3611111111111</v>
      </c>
      <c r="CV10" s="166">
        <v>376.08333333333309</v>
      </c>
      <c r="CW10" s="166">
        <v>1991.8444444444444</v>
      </c>
      <c r="CX10" s="166">
        <v>0</v>
      </c>
      <c r="CY10" s="166">
        <v>123</v>
      </c>
      <c r="CZ10" s="165">
        <v>1</v>
      </c>
      <c r="DA10" s="165">
        <v>124</v>
      </c>
      <c r="DB10" s="165">
        <v>145</v>
      </c>
      <c r="DC10" s="165">
        <v>129</v>
      </c>
      <c r="DD10" s="165">
        <v>134</v>
      </c>
      <c r="DE10" s="165">
        <v>167</v>
      </c>
      <c r="DF10" s="165">
        <v>133</v>
      </c>
      <c r="DG10" s="165">
        <v>167</v>
      </c>
      <c r="DH10" s="165">
        <v>164</v>
      </c>
      <c r="DI10" s="165">
        <v>154</v>
      </c>
      <c r="DJ10" s="165">
        <v>156</v>
      </c>
      <c r="DK10" s="165">
        <v>178</v>
      </c>
      <c r="DL10" s="165">
        <v>179</v>
      </c>
      <c r="DM10" s="165">
        <v>156</v>
      </c>
      <c r="DN10" s="165">
        <v>875</v>
      </c>
      <c r="DO10" s="165">
        <v>318</v>
      </c>
      <c r="DP10" s="165">
        <v>669</v>
      </c>
      <c r="DQ10" s="165">
        <v>1317</v>
      </c>
      <c r="DR10" s="165">
        <v>1862</v>
      </c>
      <c r="DS10" s="165">
        <v>1986</v>
      </c>
      <c r="DT10" s="165">
        <v>1</v>
      </c>
      <c r="DU10" s="165">
        <v>935</v>
      </c>
      <c r="DV10" s="165">
        <v>367</v>
      </c>
      <c r="DW10" s="165">
        <v>20</v>
      </c>
      <c r="DX10" s="165">
        <v>387</v>
      </c>
      <c r="DY10" s="165">
        <v>2006</v>
      </c>
      <c r="DZ10" s="165">
        <v>52</v>
      </c>
      <c r="EA10" s="166">
        <v>144.35499999999999</v>
      </c>
      <c r="EB10" s="166">
        <v>133.35499999999999</v>
      </c>
      <c r="EC10" s="166">
        <v>56.753</v>
      </c>
      <c r="ED10" s="166">
        <v>60.919999999999995</v>
      </c>
      <c r="EE10" s="166">
        <v>0</v>
      </c>
      <c r="EF10" s="166">
        <v>148.505</v>
      </c>
      <c r="EG10" s="167">
        <v>9.0573152337858343E-2</v>
      </c>
      <c r="EH10" s="165"/>
      <c r="EI10" s="165">
        <v>119</v>
      </c>
      <c r="EJ10" s="165">
        <v>1785</v>
      </c>
      <c r="EK10" s="165"/>
      <c r="EL10" s="165"/>
      <c r="EM10" s="166"/>
      <c r="EN10" s="165">
        <v>1904</v>
      </c>
      <c r="EO10" s="165">
        <v>40</v>
      </c>
      <c r="EP10" s="165">
        <v>389</v>
      </c>
      <c r="EQ10" s="165">
        <v>429</v>
      </c>
      <c r="ER10" s="165">
        <v>367</v>
      </c>
      <c r="ES10" s="165">
        <v>22</v>
      </c>
      <c r="ET10" s="165">
        <v>24</v>
      </c>
      <c r="EU10" s="166">
        <v>74.331000000000003</v>
      </c>
      <c r="EV10" s="166">
        <v>4.45</v>
      </c>
      <c r="EW10" s="166">
        <v>11.875</v>
      </c>
      <c r="EX10" s="166">
        <v>2</v>
      </c>
      <c r="EY10" s="166">
        <v>51.325000000000003</v>
      </c>
      <c r="EZ10" s="166">
        <v>143.98099999999999</v>
      </c>
      <c r="FA10" s="166">
        <v>1</v>
      </c>
      <c r="FB10" s="166">
        <v>118.77222222222223</v>
      </c>
      <c r="FC10" s="166">
        <v>119.77222222222223</v>
      </c>
      <c r="FD10" s="166">
        <v>142.66666666666666</v>
      </c>
      <c r="FE10" s="166">
        <v>127.38333333333334</v>
      </c>
      <c r="FF10" s="166">
        <v>129.46666666666667</v>
      </c>
      <c r="FG10" s="166">
        <v>163.42777777777778</v>
      </c>
      <c r="FH10" s="166">
        <v>129.83333333333334</v>
      </c>
      <c r="FI10" s="166">
        <v>163.03333333333333</v>
      </c>
      <c r="FJ10" s="166">
        <v>157.86666666666667</v>
      </c>
      <c r="FK10" s="166">
        <v>153.42777777777778</v>
      </c>
      <c r="FL10" s="166">
        <v>151.03888888888889</v>
      </c>
      <c r="FM10" s="166">
        <v>169.97777777777779</v>
      </c>
      <c r="FN10" s="166">
        <v>169.6888888888889</v>
      </c>
      <c r="FO10" s="166">
        <v>134.42777777777778</v>
      </c>
      <c r="FP10" s="166">
        <v>855.81111111111113</v>
      </c>
      <c r="FQ10" s="166">
        <v>311.29444444444448</v>
      </c>
      <c r="FR10" s="166">
        <v>625.13333333333333</v>
      </c>
      <c r="FS10" s="166">
        <v>1286.8777777777777</v>
      </c>
      <c r="FT10" s="166">
        <v>1792.2388888888891</v>
      </c>
      <c r="FU10" s="166">
        <v>1912.0111111111109</v>
      </c>
      <c r="FV10" s="166">
        <v>351.95</v>
      </c>
      <c r="FW10" s="166">
        <v>21.56111111111111</v>
      </c>
      <c r="FX10" s="166">
        <v>373.51111111111112</v>
      </c>
      <c r="FY10" s="166">
        <v>1933.5722222222221</v>
      </c>
      <c r="FZ10" s="165">
        <v>1</v>
      </c>
      <c r="GA10" s="165">
        <v>106</v>
      </c>
      <c r="GB10" s="165">
        <v>107</v>
      </c>
      <c r="GC10" s="165">
        <v>119</v>
      </c>
      <c r="GD10" s="165">
        <v>144</v>
      </c>
      <c r="GE10" s="165">
        <v>134</v>
      </c>
      <c r="GF10" s="165">
        <v>127</v>
      </c>
      <c r="GG10" s="165">
        <v>169</v>
      </c>
      <c r="GH10" s="165">
        <v>132</v>
      </c>
      <c r="GI10" s="165">
        <v>161</v>
      </c>
      <c r="GJ10" s="165">
        <v>169</v>
      </c>
      <c r="GK10" s="165">
        <v>160</v>
      </c>
      <c r="GL10" s="165">
        <v>153</v>
      </c>
      <c r="GM10" s="165">
        <v>171</v>
      </c>
      <c r="GN10" s="165">
        <v>161</v>
      </c>
      <c r="GO10" s="165">
        <v>825</v>
      </c>
      <c r="GP10" s="165">
        <v>330</v>
      </c>
      <c r="GQ10" s="165">
        <v>645</v>
      </c>
      <c r="GR10" s="165">
        <v>1262</v>
      </c>
      <c r="GS10" s="165">
        <v>1800</v>
      </c>
      <c r="GT10" s="165">
        <v>1907</v>
      </c>
      <c r="GU10" s="165">
        <v>4</v>
      </c>
      <c r="GV10" s="165">
        <v>897</v>
      </c>
      <c r="GW10" s="165">
        <v>354</v>
      </c>
      <c r="GX10" s="165">
        <v>15</v>
      </c>
      <c r="GY10" s="165">
        <v>369</v>
      </c>
      <c r="GZ10" s="165">
        <v>1922</v>
      </c>
      <c r="HA10" s="165">
        <v>60</v>
      </c>
      <c r="HB10" s="166">
        <v>144.29499999999999</v>
      </c>
      <c r="HC10" s="166">
        <v>133.29499999999999</v>
      </c>
      <c r="HD10" s="166">
        <v>58.190000000000005</v>
      </c>
      <c r="HE10" s="166">
        <v>58.756999999999998</v>
      </c>
      <c r="HF10" s="166"/>
      <c r="HG10" s="166">
        <v>148.69499999999999</v>
      </c>
      <c r="HH10" s="166">
        <v>40</v>
      </c>
      <c r="HI10" s="166">
        <v>372</v>
      </c>
      <c r="HJ10" s="166">
        <v>412</v>
      </c>
      <c r="HK10" s="166">
        <v>356</v>
      </c>
      <c r="HL10" s="166">
        <v>16</v>
      </c>
      <c r="HM10" s="166">
        <v>13</v>
      </c>
      <c r="HN10" s="166">
        <v>102</v>
      </c>
      <c r="HO10" s="166">
        <v>1724</v>
      </c>
      <c r="HP10" s="166">
        <v>0</v>
      </c>
      <c r="HQ10" s="166">
        <v>0</v>
      </c>
      <c r="HR10" s="166">
        <v>0</v>
      </c>
      <c r="HS10" s="166">
        <v>1826</v>
      </c>
      <c r="HT10" s="166">
        <f>FY26_FE_Data_April15[[#This Row],[Oct 1, 2026 (CDC) - K]]+FY26_FE_Data_April15[[#This Row],[Oct 1, 2026 (CDC) - Grades 1-6]]+FY26_FE_Data_April15[[#This Row],[Oct 1, 2026 (CDC) - Grades 7-8]]</f>
        <v>102</v>
      </c>
      <c r="HU10" s="166">
        <v>0</v>
      </c>
    </row>
    <row r="11" spans="1:229" ht="26">
      <c r="A11" s="158">
        <v>10</v>
      </c>
      <c r="B11" s="159" t="s">
        <v>301</v>
      </c>
      <c r="C11" s="160" t="s">
        <v>302</v>
      </c>
      <c r="D11" s="160" t="s">
        <v>87</v>
      </c>
      <c r="E11" s="159" t="s">
        <v>784</v>
      </c>
      <c r="F11" s="159" t="s">
        <v>784</v>
      </c>
      <c r="G11" s="159"/>
      <c r="H11" s="161">
        <v>112.87222222222222</v>
      </c>
      <c r="I11" s="161">
        <v>11.822222222222223</v>
      </c>
      <c r="J11" s="161">
        <v>124.69444444444444</v>
      </c>
      <c r="K11" s="162">
        <v>118</v>
      </c>
      <c r="L11" s="162">
        <v>686</v>
      </c>
      <c r="M11" s="162">
        <v>139</v>
      </c>
      <c r="N11" s="162">
        <v>300</v>
      </c>
      <c r="O11" s="162">
        <v>1243</v>
      </c>
      <c r="P11" s="162">
        <v>1125</v>
      </c>
      <c r="Q11" s="162">
        <v>943</v>
      </c>
      <c r="R11" s="162">
        <v>10</v>
      </c>
      <c r="S11" s="160">
        <v>113.17222222222222</v>
      </c>
      <c r="T11" s="160">
        <v>125.28888888888889</v>
      </c>
      <c r="U11" s="160">
        <v>136.1611111111111</v>
      </c>
      <c r="V11" s="160">
        <v>118.62777777777778</v>
      </c>
      <c r="W11" s="160">
        <v>107.32222222222222</v>
      </c>
      <c r="X11" s="160">
        <v>94.338888888888889</v>
      </c>
      <c r="Y11" s="160">
        <v>80.88333333333334</v>
      </c>
      <c r="Z11" s="160">
        <v>69.62222222222222</v>
      </c>
      <c r="AA11" s="160">
        <v>67.672222222222217</v>
      </c>
      <c r="AB11" s="160">
        <v>73.938888888888883</v>
      </c>
      <c r="AC11" s="160">
        <v>83.161111111111111</v>
      </c>
      <c r="AD11" s="160">
        <v>65.155555555555551</v>
      </c>
      <c r="AE11" s="160">
        <v>68.516666666666666</v>
      </c>
      <c r="AF11" s="160">
        <v>662.62222222222215</v>
      </c>
      <c r="AG11" s="160">
        <v>137.29444444444442</v>
      </c>
      <c r="AH11" s="160">
        <v>290.77222222222218</v>
      </c>
      <c r="AI11" s="160">
        <v>913.08888888888885</v>
      </c>
      <c r="AJ11" s="160">
        <v>1090.6888888888889</v>
      </c>
      <c r="AK11" s="160">
        <v>1203.8611111111111</v>
      </c>
      <c r="AL11" s="161">
        <v>119.38888888888889</v>
      </c>
      <c r="AM11" s="161">
        <v>9.9444444444444446</v>
      </c>
      <c r="AN11" s="161">
        <v>129.33333333333334</v>
      </c>
      <c r="AO11" s="161">
        <v>1213.8055555555554</v>
      </c>
      <c r="AP11" s="162">
        <v>175</v>
      </c>
      <c r="AQ11" s="168">
        <v>179</v>
      </c>
      <c r="AR11" s="160">
        <v>163</v>
      </c>
      <c r="AS11" s="160">
        <v>183</v>
      </c>
      <c r="AT11" s="160">
        <v>150</v>
      </c>
      <c r="AU11" s="160">
        <v>142</v>
      </c>
      <c r="AV11" s="160">
        <v>108</v>
      </c>
      <c r="AW11" s="160">
        <v>62</v>
      </c>
      <c r="AX11" s="160">
        <v>67</v>
      </c>
      <c r="AY11" s="160">
        <v>66</v>
      </c>
      <c r="AZ11" s="160">
        <v>70</v>
      </c>
      <c r="BA11" s="160">
        <v>81</v>
      </c>
      <c r="BB11" s="160">
        <v>65</v>
      </c>
      <c r="BC11" s="160">
        <v>925</v>
      </c>
      <c r="BD11" s="160">
        <v>129</v>
      </c>
      <c r="BE11" s="160">
        <v>282</v>
      </c>
      <c r="BF11" s="160">
        <v>1229</v>
      </c>
      <c r="BG11" s="160">
        <v>1336</v>
      </c>
      <c r="BH11" s="160">
        <v>1511</v>
      </c>
      <c r="BI11" s="160">
        <v>175</v>
      </c>
      <c r="BJ11" s="160">
        <v>0</v>
      </c>
      <c r="BK11" s="160">
        <v>0</v>
      </c>
      <c r="BL11" s="160">
        <v>474</v>
      </c>
      <c r="BM11" s="160">
        <v>133</v>
      </c>
      <c r="BN11" s="162">
        <v>10</v>
      </c>
      <c r="BO11" s="162">
        <v>143</v>
      </c>
      <c r="BP11" s="162">
        <v>85</v>
      </c>
      <c r="BQ11" s="163">
        <v>8.7009986265308426E-2</v>
      </c>
      <c r="BR11" s="164">
        <v>77.862000000000009</v>
      </c>
      <c r="BS11" s="164">
        <v>73.412000000000006</v>
      </c>
      <c r="BT11" s="164">
        <v>72.462000000000003</v>
      </c>
      <c r="BU11" s="164">
        <v>77.161999999999978</v>
      </c>
      <c r="BV11" s="165">
        <v>0</v>
      </c>
      <c r="BW11" s="165">
        <v>207</v>
      </c>
      <c r="BX11" s="166">
        <v>298.91111100000001</v>
      </c>
      <c r="BY11" s="166">
        <v>103.466666</v>
      </c>
      <c r="BZ11" s="166">
        <v>58.777777</v>
      </c>
      <c r="CA11" s="166">
        <v>162.24444444444444</v>
      </c>
      <c r="CB11" s="166">
        <v>171.44444444444446</v>
      </c>
      <c r="CC11" s="166">
        <v>153.5888888888889</v>
      </c>
      <c r="CD11" s="166">
        <v>174.8111111111111</v>
      </c>
      <c r="CE11" s="166">
        <v>143.72222222222223</v>
      </c>
      <c r="CF11" s="166">
        <v>136</v>
      </c>
      <c r="CG11" s="166">
        <v>104.32222222222222</v>
      </c>
      <c r="CH11" s="166">
        <v>62.18888888888889</v>
      </c>
      <c r="CI11" s="166">
        <v>65.661111111111111</v>
      </c>
      <c r="CJ11" s="166">
        <v>65.905555555555551</v>
      </c>
      <c r="CK11" s="166">
        <v>71.483333333333334</v>
      </c>
      <c r="CL11" s="166">
        <v>80.733333333333334</v>
      </c>
      <c r="CM11" s="166">
        <v>62.094444444444441</v>
      </c>
      <c r="CN11" s="166">
        <v>883.8888888888888</v>
      </c>
      <c r="CO11" s="166">
        <v>127.85</v>
      </c>
      <c r="CP11" s="166">
        <v>280.21666666666664</v>
      </c>
      <c r="CQ11" s="166">
        <v>1173.9833333333333</v>
      </c>
      <c r="CR11" s="166">
        <v>1291.9555555555555</v>
      </c>
      <c r="CS11" s="166">
        <v>1454.2</v>
      </c>
      <c r="CT11" s="166">
        <v>130.555555555556</v>
      </c>
      <c r="CU11" s="166">
        <v>8.9666666666666703</v>
      </c>
      <c r="CV11" s="166">
        <v>139.52222222222267</v>
      </c>
      <c r="CW11" s="166">
        <v>1463.1666666666667</v>
      </c>
      <c r="CX11" s="166">
        <v>427.455555</v>
      </c>
      <c r="CY11" s="166">
        <v>225</v>
      </c>
      <c r="CZ11" s="165">
        <v>1</v>
      </c>
      <c r="DA11" s="165">
        <v>226</v>
      </c>
      <c r="DB11" s="165">
        <v>187</v>
      </c>
      <c r="DC11" s="165">
        <v>163</v>
      </c>
      <c r="DD11" s="165">
        <v>155</v>
      </c>
      <c r="DE11" s="165">
        <v>162</v>
      </c>
      <c r="DF11" s="165">
        <v>134</v>
      </c>
      <c r="DG11" s="165">
        <v>122</v>
      </c>
      <c r="DH11" s="165">
        <v>64</v>
      </c>
      <c r="DI11" s="165">
        <v>65</v>
      </c>
      <c r="DJ11" s="165">
        <v>63</v>
      </c>
      <c r="DK11" s="165">
        <v>71</v>
      </c>
      <c r="DL11" s="165">
        <v>67</v>
      </c>
      <c r="DM11" s="165">
        <v>82</v>
      </c>
      <c r="DN11" s="165">
        <v>923</v>
      </c>
      <c r="DO11" s="165">
        <v>129</v>
      </c>
      <c r="DP11" s="165">
        <v>283</v>
      </c>
      <c r="DQ11" s="165">
        <v>1278</v>
      </c>
      <c r="DR11" s="165">
        <v>1335</v>
      </c>
      <c r="DS11" s="165">
        <v>1561</v>
      </c>
      <c r="DT11" s="165">
        <v>1</v>
      </c>
      <c r="DU11" s="165">
        <v>348</v>
      </c>
      <c r="DV11" s="165">
        <v>114</v>
      </c>
      <c r="DW11" s="165">
        <v>9</v>
      </c>
      <c r="DX11" s="165">
        <v>123</v>
      </c>
      <c r="DY11" s="165">
        <v>1570</v>
      </c>
      <c r="DZ11" s="165">
        <v>86</v>
      </c>
      <c r="EA11" s="166">
        <v>82.289999999999992</v>
      </c>
      <c r="EB11" s="166">
        <v>76.589999999999989</v>
      </c>
      <c r="EC11" s="166">
        <v>37.299999999999997</v>
      </c>
      <c r="ED11" s="166">
        <v>31.999999999999996</v>
      </c>
      <c r="EE11" s="166">
        <v>0</v>
      </c>
      <c r="EF11" s="166">
        <v>84.5</v>
      </c>
      <c r="EG11" s="167">
        <v>8.7595607372390638E-2</v>
      </c>
      <c r="EH11" s="165"/>
      <c r="EI11" s="165">
        <v>230</v>
      </c>
      <c r="EJ11" s="165">
        <v>1361</v>
      </c>
      <c r="EK11" s="165"/>
      <c r="EL11" s="165"/>
      <c r="EM11" s="166"/>
      <c r="EN11" s="165">
        <v>1591</v>
      </c>
      <c r="EO11" s="165">
        <v>8</v>
      </c>
      <c r="EP11" s="165">
        <v>133</v>
      </c>
      <c r="EQ11" s="165">
        <v>141</v>
      </c>
      <c r="ER11" s="165">
        <v>123</v>
      </c>
      <c r="ES11" s="165">
        <v>10</v>
      </c>
      <c r="ET11" s="165">
        <v>14</v>
      </c>
      <c r="EU11" s="166">
        <v>31.39</v>
      </c>
      <c r="EV11" s="166">
        <v>1.6</v>
      </c>
      <c r="EW11" s="166">
        <v>7</v>
      </c>
      <c r="EX11" s="166">
        <v>10.5</v>
      </c>
      <c r="EY11" s="166">
        <v>19.5</v>
      </c>
      <c r="EZ11" s="166">
        <v>69.990000000000009</v>
      </c>
      <c r="FA11" s="166">
        <v>2</v>
      </c>
      <c r="FB11" s="166">
        <v>209.63333333333333</v>
      </c>
      <c r="FC11" s="166">
        <v>211.63333333333333</v>
      </c>
      <c r="FD11" s="166">
        <v>177.02222222222221</v>
      </c>
      <c r="FE11" s="166">
        <v>158.22222222222223</v>
      </c>
      <c r="FF11" s="166">
        <v>150.68333333333334</v>
      </c>
      <c r="FG11" s="166">
        <v>153.71111111111111</v>
      </c>
      <c r="FH11" s="166">
        <v>127.88888888888889</v>
      </c>
      <c r="FI11" s="166">
        <v>116.78888888888889</v>
      </c>
      <c r="FJ11" s="166">
        <v>62.12777777777778</v>
      </c>
      <c r="FK11" s="166">
        <v>62.405555555555559</v>
      </c>
      <c r="FL11" s="166">
        <v>61.222222222222221</v>
      </c>
      <c r="FM11" s="166">
        <v>67.788888888888891</v>
      </c>
      <c r="FN11" s="166">
        <v>67.7</v>
      </c>
      <c r="FO11" s="166">
        <v>74.8</v>
      </c>
      <c r="FP11" s="166">
        <v>884.31666666666672</v>
      </c>
      <c r="FQ11" s="166">
        <v>124.53333333333333</v>
      </c>
      <c r="FR11" s="166">
        <v>271.51111111111112</v>
      </c>
      <c r="FS11" s="166">
        <v>1220.4833333333333</v>
      </c>
      <c r="FT11" s="166">
        <v>1280.3611111111113</v>
      </c>
      <c r="FU11" s="166">
        <v>1491.9944444444445</v>
      </c>
      <c r="FV11" s="166">
        <v>125.87222222222222</v>
      </c>
      <c r="FW11" s="166">
        <v>8.905555555555555</v>
      </c>
      <c r="FX11" s="166">
        <v>134.77777777777777</v>
      </c>
      <c r="FY11" s="166">
        <v>1500.9</v>
      </c>
      <c r="FZ11" s="165">
        <v>0</v>
      </c>
      <c r="GA11" s="165">
        <v>145</v>
      </c>
      <c r="GB11" s="165">
        <v>145</v>
      </c>
      <c r="GC11" s="165">
        <v>162</v>
      </c>
      <c r="GD11" s="165">
        <v>149</v>
      </c>
      <c r="GE11" s="165">
        <v>137</v>
      </c>
      <c r="GF11" s="165">
        <v>126</v>
      </c>
      <c r="GG11" s="165">
        <v>119</v>
      </c>
      <c r="GH11" s="165">
        <v>106</v>
      </c>
      <c r="GI11" s="165">
        <v>61</v>
      </c>
      <c r="GJ11" s="165">
        <v>62</v>
      </c>
      <c r="GK11" s="165">
        <v>62</v>
      </c>
      <c r="GL11" s="165">
        <v>58</v>
      </c>
      <c r="GM11" s="165">
        <v>66</v>
      </c>
      <c r="GN11" s="165">
        <v>66</v>
      </c>
      <c r="GO11" s="165">
        <v>799</v>
      </c>
      <c r="GP11" s="165">
        <v>123</v>
      </c>
      <c r="GQ11" s="165">
        <v>252</v>
      </c>
      <c r="GR11" s="165">
        <v>1067</v>
      </c>
      <c r="GS11" s="165">
        <v>1174</v>
      </c>
      <c r="GT11" s="165">
        <v>1319</v>
      </c>
      <c r="GU11" s="165">
        <v>4</v>
      </c>
      <c r="GV11" s="165">
        <v>415</v>
      </c>
      <c r="GW11" s="165">
        <v>114</v>
      </c>
      <c r="GX11" s="165">
        <v>12</v>
      </c>
      <c r="GY11" s="165">
        <v>126</v>
      </c>
      <c r="GZ11" s="165">
        <v>1331</v>
      </c>
      <c r="HA11" s="165">
        <v>59</v>
      </c>
      <c r="HB11" s="166">
        <v>80.39</v>
      </c>
      <c r="HC11" s="166">
        <v>75.34</v>
      </c>
      <c r="HD11" s="166">
        <v>37.950000000000003</v>
      </c>
      <c r="HE11" s="166">
        <v>30.199999999999996</v>
      </c>
      <c r="HF11" s="166"/>
      <c r="HG11" s="166">
        <v>83.1</v>
      </c>
      <c r="HH11" s="166">
        <v>5</v>
      </c>
      <c r="HI11" s="166">
        <v>127</v>
      </c>
      <c r="HJ11" s="166">
        <v>132</v>
      </c>
      <c r="HK11" s="166">
        <v>117</v>
      </c>
      <c r="HL11" s="166">
        <v>10</v>
      </c>
      <c r="HM11" s="166">
        <v>3</v>
      </c>
      <c r="HN11" s="166">
        <v>140</v>
      </c>
      <c r="HO11" s="166">
        <v>1135</v>
      </c>
      <c r="HP11" s="166">
        <v>0</v>
      </c>
      <c r="HQ11" s="166">
        <v>0</v>
      </c>
      <c r="HR11" s="166">
        <v>0</v>
      </c>
      <c r="HS11" s="166">
        <v>1275</v>
      </c>
      <c r="HT11" s="166">
        <f>FY26_FE_Data_April15[[#This Row],[Oct 1, 2026 (CDC) - K]]+FY26_FE_Data_April15[[#This Row],[Oct 1, 2026 (CDC) - Grades 1-6]]+FY26_FE_Data_April15[[#This Row],[Oct 1, 2026 (CDC) - Grades 7-8]]</f>
        <v>140</v>
      </c>
      <c r="HU11" s="166">
        <v>598.24444400000004</v>
      </c>
    </row>
    <row r="12" spans="1:229" ht="26">
      <c r="A12" s="158">
        <v>11</v>
      </c>
      <c r="B12" s="159" t="s">
        <v>303</v>
      </c>
      <c r="C12" s="160" t="s">
        <v>304</v>
      </c>
      <c r="D12" s="160" t="s">
        <v>87</v>
      </c>
      <c r="E12" s="159" t="s">
        <v>784</v>
      </c>
      <c r="F12" s="159" t="s">
        <v>784</v>
      </c>
      <c r="G12" s="159"/>
      <c r="H12" s="161">
        <v>205.7</v>
      </c>
      <c r="I12" s="161">
        <v>11.71111111111111</v>
      </c>
      <c r="J12" s="161">
        <v>217.4111111111111</v>
      </c>
      <c r="K12" s="162">
        <v>88</v>
      </c>
      <c r="L12" s="162">
        <v>645</v>
      </c>
      <c r="M12" s="162">
        <v>239</v>
      </c>
      <c r="N12" s="162">
        <v>463</v>
      </c>
      <c r="O12" s="162">
        <v>1435</v>
      </c>
      <c r="P12" s="162">
        <v>1347</v>
      </c>
      <c r="Q12" s="162">
        <v>972</v>
      </c>
      <c r="R12" s="162">
        <v>9</v>
      </c>
      <c r="S12" s="160">
        <v>85.905555555555551</v>
      </c>
      <c r="T12" s="160">
        <v>102.46111111111111</v>
      </c>
      <c r="U12" s="160">
        <v>100.63333333333334</v>
      </c>
      <c r="V12" s="160">
        <v>100.81111111111112</v>
      </c>
      <c r="W12" s="160">
        <v>108.11666666666666</v>
      </c>
      <c r="X12" s="160">
        <v>104.60555555555555</v>
      </c>
      <c r="Y12" s="160">
        <v>119.46666666666667</v>
      </c>
      <c r="Z12" s="160">
        <v>116.2</v>
      </c>
      <c r="AA12" s="160">
        <v>124.42777777777778</v>
      </c>
      <c r="AB12" s="160">
        <v>118.96111111111111</v>
      </c>
      <c r="AC12" s="160">
        <v>115.62222222222222</v>
      </c>
      <c r="AD12" s="160">
        <v>103.99444444444444</v>
      </c>
      <c r="AE12" s="160">
        <v>107.36111111111111</v>
      </c>
      <c r="AF12" s="160">
        <v>636.09444444444443</v>
      </c>
      <c r="AG12" s="160">
        <v>240.62777777777779</v>
      </c>
      <c r="AH12" s="160">
        <v>445.93888888888887</v>
      </c>
      <c r="AI12" s="160">
        <v>962.62777777777785</v>
      </c>
      <c r="AJ12" s="160">
        <v>1322.6611111111113</v>
      </c>
      <c r="AK12" s="160">
        <v>1408.5666666666668</v>
      </c>
      <c r="AL12" s="161">
        <v>196.62222222222223</v>
      </c>
      <c r="AM12" s="161">
        <v>10.477777777777778</v>
      </c>
      <c r="AN12" s="161">
        <v>207.10000000000002</v>
      </c>
      <c r="AO12" s="161">
        <v>1419.0444444444447</v>
      </c>
      <c r="AP12" s="162">
        <v>88</v>
      </c>
      <c r="AQ12" s="168">
        <v>93</v>
      </c>
      <c r="AR12" s="160">
        <v>110</v>
      </c>
      <c r="AS12" s="160">
        <v>93</v>
      </c>
      <c r="AT12" s="160">
        <v>98</v>
      </c>
      <c r="AU12" s="160">
        <v>110</v>
      </c>
      <c r="AV12" s="160">
        <v>107</v>
      </c>
      <c r="AW12" s="160">
        <v>129</v>
      </c>
      <c r="AX12" s="160">
        <v>116</v>
      </c>
      <c r="AY12" s="160">
        <v>129</v>
      </c>
      <c r="AZ12" s="160">
        <v>117</v>
      </c>
      <c r="BA12" s="160">
        <v>109</v>
      </c>
      <c r="BB12" s="160">
        <v>98</v>
      </c>
      <c r="BC12" s="160">
        <v>611</v>
      </c>
      <c r="BD12" s="160">
        <v>245</v>
      </c>
      <c r="BE12" s="160">
        <v>453</v>
      </c>
      <c r="BF12" s="160">
        <v>944</v>
      </c>
      <c r="BG12" s="160">
        <v>1309</v>
      </c>
      <c r="BH12" s="160">
        <v>1397</v>
      </c>
      <c r="BI12" s="160">
        <v>88</v>
      </c>
      <c r="BJ12" s="160">
        <v>0</v>
      </c>
      <c r="BK12" s="160">
        <v>0</v>
      </c>
      <c r="BL12" s="160">
        <v>453</v>
      </c>
      <c r="BM12" s="160">
        <v>189</v>
      </c>
      <c r="BN12" s="162">
        <v>12</v>
      </c>
      <c r="BO12" s="162">
        <v>201</v>
      </c>
      <c r="BP12" s="162">
        <v>117</v>
      </c>
      <c r="BQ12" s="163">
        <v>8.4317964040401039E-2</v>
      </c>
      <c r="BR12" s="164">
        <v>90.744</v>
      </c>
      <c r="BS12" s="164">
        <v>86.244</v>
      </c>
      <c r="BT12" s="164">
        <v>82.760999999999996</v>
      </c>
      <c r="BU12" s="164">
        <v>95.234499999999997</v>
      </c>
      <c r="BV12" s="165">
        <v>0</v>
      </c>
      <c r="BW12" s="165">
        <v>0</v>
      </c>
      <c r="BX12" s="166">
        <v>0</v>
      </c>
      <c r="BY12" s="166">
        <v>0.61666600000000005</v>
      </c>
      <c r="BZ12" s="166">
        <v>82.788888</v>
      </c>
      <c r="CA12" s="166">
        <v>83.405555555555551</v>
      </c>
      <c r="CB12" s="166">
        <v>87.455555555555549</v>
      </c>
      <c r="CC12" s="166">
        <v>105.25555555555556</v>
      </c>
      <c r="CD12" s="166">
        <v>92.794444444444451</v>
      </c>
      <c r="CE12" s="166">
        <v>96.266666666666666</v>
      </c>
      <c r="CF12" s="166">
        <v>110.95</v>
      </c>
      <c r="CG12" s="166">
        <v>102.58333333333333</v>
      </c>
      <c r="CH12" s="166">
        <v>127.46111111111111</v>
      </c>
      <c r="CI12" s="166">
        <v>112.73888888888889</v>
      </c>
      <c r="CJ12" s="166">
        <v>126.55</v>
      </c>
      <c r="CK12" s="166">
        <v>119.04444444444445</v>
      </c>
      <c r="CL12" s="166">
        <v>109.43888888888888</v>
      </c>
      <c r="CM12" s="166">
        <v>99.794444444444451</v>
      </c>
      <c r="CN12" s="166">
        <v>595.30555555555554</v>
      </c>
      <c r="CO12" s="166">
        <v>240.2</v>
      </c>
      <c r="CP12" s="166">
        <v>454.82777777777778</v>
      </c>
      <c r="CQ12" s="166">
        <v>918.91111111111127</v>
      </c>
      <c r="CR12" s="166">
        <v>1290.3333333333333</v>
      </c>
      <c r="CS12" s="166">
        <v>1373.7388888888891</v>
      </c>
      <c r="CT12" s="166">
        <v>181.21111111111099</v>
      </c>
      <c r="CU12" s="166">
        <v>15.311111111111099</v>
      </c>
      <c r="CV12" s="166">
        <v>196.5222222222221</v>
      </c>
      <c r="CW12" s="166">
        <v>1389.0500000000002</v>
      </c>
      <c r="CX12" s="166">
        <v>0</v>
      </c>
      <c r="CY12" s="166">
        <v>67</v>
      </c>
      <c r="CZ12" s="165">
        <v>0</v>
      </c>
      <c r="DA12" s="165">
        <v>67</v>
      </c>
      <c r="DB12" s="165">
        <v>92</v>
      </c>
      <c r="DC12" s="165">
        <v>90</v>
      </c>
      <c r="DD12" s="165">
        <v>110</v>
      </c>
      <c r="DE12" s="165">
        <v>100</v>
      </c>
      <c r="DF12" s="165">
        <v>106</v>
      </c>
      <c r="DG12" s="165">
        <v>117</v>
      </c>
      <c r="DH12" s="165">
        <v>103</v>
      </c>
      <c r="DI12" s="165">
        <v>117</v>
      </c>
      <c r="DJ12" s="165">
        <v>115</v>
      </c>
      <c r="DK12" s="165">
        <v>121</v>
      </c>
      <c r="DL12" s="165">
        <v>121</v>
      </c>
      <c r="DM12" s="165">
        <v>112</v>
      </c>
      <c r="DN12" s="165">
        <v>615</v>
      </c>
      <c r="DO12" s="165">
        <v>220</v>
      </c>
      <c r="DP12" s="165">
        <v>469</v>
      </c>
      <c r="DQ12" s="165">
        <v>902</v>
      </c>
      <c r="DR12" s="165">
        <v>1304</v>
      </c>
      <c r="DS12" s="165">
        <v>1371</v>
      </c>
      <c r="DT12" s="165">
        <v>0</v>
      </c>
      <c r="DU12" s="165">
        <v>580</v>
      </c>
      <c r="DV12" s="165">
        <v>164</v>
      </c>
      <c r="DW12" s="165">
        <v>22</v>
      </c>
      <c r="DX12" s="165">
        <v>186</v>
      </c>
      <c r="DY12" s="165">
        <v>1393</v>
      </c>
      <c r="DZ12" s="165">
        <v>117</v>
      </c>
      <c r="EA12" s="166">
        <v>95.914000000000001</v>
      </c>
      <c r="EB12" s="166">
        <v>91.414000000000001</v>
      </c>
      <c r="EC12" s="166">
        <v>36.450000000000003</v>
      </c>
      <c r="ED12" s="166">
        <v>43.364000000000004</v>
      </c>
      <c r="EE12" s="166">
        <v>0</v>
      </c>
      <c r="EF12" s="166">
        <v>101.0115</v>
      </c>
      <c r="EG12" s="167">
        <v>8.8095079737299131E-2</v>
      </c>
      <c r="EH12" s="165"/>
      <c r="EI12" s="165">
        <v>66</v>
      </c>
      <c r="EJ12" s="165">
        <v>1276</v>
      </c>
      <c r="EK12" s="165"/>
      <c r="EL12" s="165"/>
      <c r="EM12" s="166"/>
      <c r="EN12" s="165">
        <v>1342</v>
      </c>
      <c r="EO12" s="165">
        <v>29</v>
      </c>
      <c r="EP12" s="165">
        <v>198</v>
      </c>
      <c r="EQ12" s="165">
        <v>227</v>
      </c>
      <c r="ER12" s="165">
        <v>171</v>
      </c>
      <c r="ES12" s="165">
        <v>27</v>
      </c>
      <c r="ET12" s="165">
        <v>22</v>
      </c>
      <c r="EU12" s="166">
        <v>30</v>
      </c>
      <c r="EV12" s="166">
        <v>4</v>
      </c>
      <c r="EW12" s="166">
        <v>11</v>
      </c>
      <c r="EX12" s="166">
        <v>6</v>
      </c>
      <c r="EY12" s="166">
        <v>35</v>
      </c>
      <c r="EZ12" s="166">
        <v>86</v>
      </c>
      <c r="FA12" s="166">
        <v>0</v>
      </c>
      <c r="FB12" s="166">
        <v>69.105555555555554</v>
      </c>
      <c r="FC12" s="166">
        <v>69.105555555555554</v>
      </c>
      <c r="FD12" s="166">
        <v>87.305555555555557</v>
      </c>
      <c r="FE12" s="166">
        <v>84.694444444444443</v>
      </c>
      <c r="FF12" s="166">
        <v>106.96666666666667</v>
      </c>
      <c r="FG12" s="166">
        <v>95.544444444444451</v>
      </c>
      <c r="FH12" s="166">
        <v>103.25</v>
      </c>
      <c r="FI12" s="166">
        <v>112.14444444444445</v>
      </c>
      <c r="FJ12" s="166">
        <v>99.805555555555557</v>
      </c>
      <c r="FK12" s="166">
        <v>116.07777777777778</v>
      </c>
      <c r="FL12" s="166">
        <v>115.52777777777777</v>
      </c>
      <c r="FM12" s="166">
        <v>116.37222222222222</v>
      </c>
      <c r="FN12" s="166">
        <v>120.61666666666666</v>
      </c>
      <c r="FO12" s="166">
        <v>105.97777777777777</v>
      </c>
      <c r="FP12" s="166">
        <v>589.90555555555557</v>
      </c>
      <c r="FQ12" s="166">
        <v>215.88333333333333</v>
      </c>
      <c r="FR12" s="166">
        <v>458.49444444444441</v>
      </c>
      <c r="FS12" s="166">
        <v>874.8944444444445</v>
      </c>
      <c r="FT12" s="166">
        <v>1264.2833333333333</v>
      </c>
      <c r="FU12" s="166">
        <v>1333.3888888888889</v>
      </c>
      <c r="FV12" s="166">
        <v>164.5</v>
      </c>
      <c r="FW12" s="166">
        <v>27.683333333333334</v>
      </c>
      <c r="FX12" s="166">
        <v>192.18333333333334</v>
      </c>
      <c r="FY12" s="166">
        <v>1361.0722222222223</v>
      </c>
      <c r="FZ12" s="165">
        <v>0</v>
      </c>
      <c r="GA12" s="165">
        <v>79</v>
      </c>
      <c r="GB12" s="165">
        <v>79</v>
      </c>
      <c r="GC12" s="165">
        <v>79</v>
      </c>
      <c r="GD12" s="165">
        <v>88</v>
      </c>
      <c r="GE12" s="165">
        <v>94</v>
      </c>
      <c r="GF12" s="165">
        <v>116</v>
      </c>
      <c r="GG12" s="165">
        <v>107</v>
      </c>
      <c r="GH12" s="165">
        <v>109</v>
      </c>
      <c r="GI12" s="165">
        <v>120</v>
      </c>
      <c r="GJ12" s="165">
        <v>104</v>
      </c>
      <c r="GK12" s="165">
        <v>128</v>
      </c>
      <c r="GL12" s="165">
        <v>112</v>
      </c>
      <c r="GM12" s="165">
        <v>119</v>
      </c>
      <c r="GN12" s="165">
        <v>121</v>
      </c>
      <c r="GO12" s="165">
        <v>593</v>
      </c>
      <c r="GP12" s="165">
        <v>224</v>
      </c>
      <c r="GQ12" s="165">
        <v>480</v>
      </c>
      <c r="GR12" s="165">
        <v>896</v>
      </c>
      <c r="GS12" s="165">
        <v>1297</v>
      </c>
      <c r="GT12" s="165">
        <v>1376</v>
      </c>
      <c r="GU12" s="165">
        <v>0</v>
      </c>
      <c r="GV12" s="165">
        <v>540</v>
      </c>
      <c r="GW12" s="165">
        <v>183</v>
      </c>
      <c r="GX12" s="165">
        <v>29</v>
      </c>
      <c r="GY12" s="165">
        <v>212</v>
      </c>
      <c r="GZ12" s="165">
        <v>1405</v>
      </c>
      <c r="HA12" s="165">
        <v>121</v>
      </c>
      <c r="HB12" s="166">
        <v>96.748000000000019</v>
      </c>
      <c r="HC12" s="166">
        <v>91.414000000000016</v>
      </c>
      <c r="HD12" s="166">
        <v>37.450000000000003</v>
      </c>
      <c r="HE12" s="166">
        <v>41.363999999999997</v>
      </c>
      <c r="HF12" s="166"/>
      <c r="HG12" s="166">
        <v>97.845500000000001</v>
      </c>
      <c r="HH12" s="166">
        <v>16</v>
      </c>
      <c r="HI12" s="166">
        <v>205</v>
      </c>
      <c r="HJ12" s="166">
        <v>221</v>
      </c>
      <c r="HK12" s="166">
        <v>176</v>
      </c>
      <c r="HL12" s="166">
        <v>29</v>
      </c>
      <c r="HM12" s="166">
        <v>0</v>
      </c>
      <c r="HN12" s="166">
        <v>77</v>
      </c>
      <c r="HO12" s="166">
        <v>1263</v>
      </c>
      <c r="HP12" s="166">
        <v>0</v>
      </c>
      <c r="HQ12" s="166">
        <v>0</v>
      </c>
      <c r="HR12" s="166">
        <v>0</v>
      </c>
      <c r="HS12" s="166">
        <v>1340</v>
      </c>
      <c r="HT12" s="166">
        <f>FY26_FE_Data_April15[[#This Row],[Oct 1, 2026 (CDC) - K]]+FY26_FE_Data_April15[[#This Row],[Oct 1, 2026 (CDC) - Grades 1-6]]+FY26_FE_Data_April15[[#This Row],[Oct 1, 2026 (CDC) - Grades 7-8]]</f>
        <v>77</v>
      </c>
      <c r="HU12" s="166">
        <v>0</v>
      </c>
    </row>
    <row r="13" spans="1:229" ht="26">
      <c r="A13" s="158">
        <v>12</v>
      </c>
      <c r="B13" s="159" t="s">
        <v>305</v>
      </c>
      <c r="C13" s="160" t="s">
        <v>306</v>
      </c>
      <c r="D13" s="160" t="s">
        <v>87</v>
      </c>
      <c r="E13" s="159" t="s">
        <v>784</v>
      </c>
      <c r="F13" s="159" t="s">
        <v>784</v>
      </c>
      <c r="G13" s="159"/>
      <c r="H13" s="161">
        <v>6036.1</v>
      </c>
      <c r="I13" s="161">
        <v>1356.5666666666666</v>
      </c>
      <c r="J13" s="161">
        <v>7392.666666666667</v>
      </c>
      <c r="K13" s="162">
        <v>3811</v>
      </c>
      <c r="L13" s="162">
        <v>25494</v>
      </c>
      <c r="M13" s="162">
        <v>9436</v>
      </c>
      <c r="N13" s="162">
        <v>20380</v>
      </c>
      <c r="O13" s="162">
        <v>59121</v>
      </c>
      <c r="P13" s="162">
        <v>55310</v>
      </c>
      <c r="Q13" s="162">
        <v>38741</v>
      </c>
      <c r="R13" s="162">
        <v>1388</v>
      </c>
      <c r="S13" s="160">
        <v>3659.1222222222223</v>
      </c>
      <c r="T13" s="160">
        <v>3996.65</v>
      </c>
      <c r="U13" s="160">
        <v>3965.5277777777778</v>
      </c>
      <c r="V13" s="160">
        <v>4144.3055555555557</v>
      </c>
      <c r="W13" s="160">
        <v>4299.5555555555557</v>
      </c>
      <c r="X13" s="160">
        <v>4149.4277777777779</v>
      </c>
      <c r="Y13" s="160">
        <v>4244.7222222222226</v>
      </c>
      <c r="Z13" s="160">
        <v>4441.5</v>
      </c>
      <c r="AA13" s="160">
        <v>4653.3999999999996</v>
      </c>
      <c r="AB13" s="160">
        <v>5039.25</v>
      </c>
      <c r="AC13" s="160">
        <v>5010</v>
      </c>
      <c r="AD13" s="160">
        <v>4659.2333333333336</v>
      </c>
      <c r="AE13" s="160">
        <v>3840.8611111111113</v>
      </c>
      <c r="AF13" s="160">
        <v>24800.18888888889</v>
      </c>
      <c r="AG13" s="160">
        <v>9094.9</v>
      </c>
      <c r="AH13" s="160">
        <v>18549.344444444447</v>
      </c>
      <c r="AI13" s="160">
        <v>37554.211111111108</v>
      </c>
      <c r="AJ13" s="160">
        <v>52444.433333333334</v>
      </c>
      <c r="AK13" s="160">
        <v>56103.555555555547</v>
      </c>
      <c r="AL13" s="161">
        <v>6121.1055555555558</v>
      </c>
      <c r="AM13" s="161">
        <v>1400.6055555555556</v>
      </c>
      <c r="AN13" s="161">
        <v>7521.7111111111117</v>
      </c>
      <c r="AO13" s="161">
        <v>57504.161111111105</v>
      </c>
      <c r="AP13" s="162">
        <v>3540</v>
      </c>
      <c r="AQ13" s="168">
        <v>3956</v>
      </c>
      <c r="AR13" s="160">
        <v>4136</v>
      </c>
      <c r="AS13" s="160">
        <v>4117</v>
      </c>
      <c r="AT13" s="160">
        <v>4185</v>
      </c>
      <c r="AU13" s="160">
        <v>4474</v>
      </c>
      <c r="AV13" s="160">
        <v>4303</v>
      </c>
      <c r="AW13" s="160">
        <v>4586</v>
      </c>
      <c r="AX13" s="160">
        <v>4655</v>
      </c>
      <c r="AY13" s="160">
        <v>5250</v>
      </c>
      <c r="AZ13" s="160">
        <v>5226</v>
      </c>
      <c r="BA13" s="160">
        <v>5121</v>
      </c>
      <c r="BB13" s="160">
        <v>4763</v>
      </c>
      <c r="BC13" s="160">
        <v>25171</v>
      </c>
      <c r="BD13" s="160">
        <v>9241</v>
      </c>
      <c r="BE13" s="160">
        <v>20360</v>
      </c>
      <c r="BF13" s="160">
        <v>37952</v>
      </c>
      <c r="BG13" s="160">
        <v>54772</v>
      </c>
      <c r="BH13" s="160">
        <v>58312</v>
      </c>
      <c r="BI13" s="160">
        <v>3477</v>
      </c>
      <c r="BJ13" s="160">
        <v>63</v>
      </c>
      <c r="BK13" s="160">
        <v>20</v>
      </c>
      <c r="BL13" s="160">
        <v>29058</v>
      </c>
      <c r="BM13" s="160">
        <v>6181</v>
      </c>
      <c r="BN13" s="162">
        <v>1405</v>
      </c>
      <c r="BO13" s="162">
        <v>7586</v>
      </c>
      <c r="BP13" s="162">
        <v>13759</v>
      </c>
      <c r="BQ13" s="163">
        <v>9.6793861035683382E-2</v>
      </c>
      <c r="BR13" s="164">
        <v>3508.8790000000022</v>
      </c>
      <c r="BS13" s="164">
        <v>3352.8790000000022</v>
      </c>
      <c r="BT13" s="164">
        <v>3119.1890000000017</v>
      </c>
      <c r="BU13" s="164">
        <v>3504.4930000000036</v>
      </c>
      <c r="BV13" s="165">
        <v>0</v>
      </c>
      <c r="BW13" s="165">
        <v>0</v>
      </c>
      <c r="BX13" s="166">
        <v>0</v>
      </c>
      <c r="BY13" s="166">
        <v>54.211111000000002</v>
      </c>
      <c r="BZ13" s="166">
        <v>3448.1166659999999</v>
      </c>
      <c r="CA13" s="166">
        <v>3502.3277777777776</v>
      </c>
      <c r="CB13" s="166">
        <v>3885.0611111111111</v>
      </c>
      <c r="CC13" s="166">
        <v>4092.55</v>
      </c>
      <c r="CD13" s="166">
        <v>4027.1888888888889</v>
      </c>
      <c r="CE13" s="166">
        <v>4124.3888888888887</v>
      </c>
      <c r="CF13" s="166">
        <v>4375.6555555555551</v>
      </c>
      <c r="CG13" s="166">
        <v>4166.8166666666666</v>
      </c>
      <c r="CH13" s="166">
        <v>4425.0388888888892</v>
      </c>
      <c r="CI13" s="166">
        <v>4491.666666666667</v>
      </c>
      <c r="CJ13" s="166">
        <v>4960.3388888888885</v>
      </c>
      <c r="CK13" s="166">
        <v>4971.7666666666664</v>
      </c>
      <c r="CL13" s="166">
        <v>4833.2388888888891</v>
      </c>
      <c r="CM13" s="166">
        <v>3752.0944444444444</v>
      </c>
      <c r="CN13" s="166">
        <v>24671.661111111109</v>
      </c>
      <c r="CO13" s="166">
        <v>8916.7055555555562</v>
      </c>
      <c r="CP13" s="166">
        <v>18517.438888888886</v>
      </c>
      <c r="CQ13" s="166">
        <v>37090.694444444445</v>
      </c>
      <c r="CR13" s="166">
        <v>52105.805555555555</v>
      </c>
      <c r="CS13" s="166">
        <v>55608.133333333339</v>
      </c>
      <c r="CT13" s="166">
        <v>6352.3555555555604</v>
      </c>
      <c r="CU13" s="166">
        <v>1421.3888888888901</v>
      </c>
      <c r="CV13" s="166">
        <v>7773.74444444445</v>
      </c>
      <c r="CW13" s="166">
        <v>57029.522222222229</v>
      </c>
      <c r="CX13" s="166">
        <v>0</v>
      </c>
      <c r="CY13" s="166">
        <v>3606</v>
      </c>
      <c r="CZ13" s="165">
        <v>52</v>
      </c>
      <c r="DA13" s="165">
        <v>3658</v>
      </c>
      <c r="DB13" s="165">
        <v>3700</v>
      </c>
      <c r="DC13" s="165">
        <v>3961</v>
      </c>
      <c r="DD13" s="165">
        <v>4173</v>
      </c>
      <c r="DE13" s="165">
        <v>4122</v>
      </c>
      <c r="DF13" s="165">
        <v>4164</v>
      </c>
      <c r="DG13" s="165">
        <v>4436</v>
      </c>
      <c r="DH13" s="165">
        <v>4359</v>
      </c>
      <c r="DI13" s="165">
        <v>4535</v>
      </c>
      <c r="DJ13" s="165">
        <v>4993</v>
      </c>
      <c r="DK13" s="165">
        <v>5076</v>
      </c>
      <c r="DL13" s="165">
        <v>4986</v>
      </c>
      <c r="DM13" s="165">
        <v>4875</v>
      </c>
      <c r="DN13" s="165">
        <v>24556</v>
      </c>
      <c r="DO13" s="165">
        <v>8894</v>
      </c>
      <c r="DP13" s="165">
        <v>19930</v>
      </c>
      <c r="DQ13" s="165">
        <v>37108</v>
      </c>
      <c r="DR13" s="165">
        <v>53380</v>
      </c>
      <c r="DS13" s="165">
        <v>57038</v>
      </c>
      <c r="DT13" s="165">
        <v>2</v>
      </c>
      <c r="DU13" s="165">
        <v>24087</v>
      </c>
      <c r="DV13" s="165">
        <v>5984</v>
      </c>
      <c r="DW13" s="165">
        <v>1311</v>
      </c>
      <c r="DX13" s="165">
        <v>7295</v>
      </c>
      <c r="DY13" s="165">
        <v>58349</v>
      </c>
      <c r="DZ13" s="165">
        <v>14536</v>
      </c>
      <c r="EA13" s="166">
        <v>3375.8480000000004</v>
      </c>
      <c r="EB13" s="166">
        <v>3208.848</v>
      </c>
      <c r="EC13" s="166">
        <v>1330.57</v>
      </c>
      <c r="ED13" s="166">
        <v>1187.8270000000002</v>
      </c>
      <c r="EE13" s="166">
        <v>0</v>
      </c>
      <c r="EF13" s="166">
        <v>3444.4269999999997</v>
      </c>
      <c r="EG13" s="167">
        <v>9.795296823387134E-2</v>
      </c>
      <c r="EH13" s="165"/>
      <c r="EI13" s="165">
        <v>3591</v>
      </c>
      <c r="EJ13" s="165">
        <v>52409</v>
      </c>
      <c r="EK13" s="165"/>
      <c r="EL13" s="165"/>
      <c r="EM13" s="166"/>
      <c r="EN13" s="165">
        <v>56000</v>
      </c>
      <c r="EO13" s="165">
        <v>717</v>
      </c>
      <c r="EP13" s="165">
        <v>7356</v>
      </c>
      <c r="EQ13" s="165">
        <v>8073</v>
      </c>
      <c r="ER13" s="165">
        <v>6024</v>
      </c>
      <c r="ES13" s="165">
        <v>1332</v>
      </c>
      <c r="ET13" s="165">
        <v>60</v>
      </c>
      <c r="EU13" s="166">
        <v>697.09400000000005</v>
      </c>
      <c r="EV13" s="166">
        <v>60.371000000000002</v>
      </c>
      <c r="EW13" s="166">
        <v>214.58500000000001</v>
      </c>
      <c r="EX13" s="166">
        <v>212.81100000000001</v>
      </c>
      <c r="EY13" s="166">
        <v>993.46600000000001</v>
      </c>
      <c r="EZ13" s="166">
        <v>2178.3270000000002</v>
      </c>
      <c r="FA13" s="166">
        <v>22.81111111111111</v>
      </c>
      <c r="FB13" s="166">
        <v>3513.4666666666667</v>
      </c>
      <c r="FC13" s="166">
        <v>3536.2777777777778</v>
      </c>
      <c r="FD13" s="166">
        <v>3622.95</v>
      </c>
      <c r="FE13" s="166">
        <v>3835.7222222222222</v>
      </c>
      <c r="FF13" s="166">
        <v>4062.8</v>
      </c>
      <c r="FG13" s="166">
        <v>3979.6</v>
      </c>
      <c r="FH13" s="166">
        <v>4035.5333333333333</v>
      </c>
      <c r="FI13" s="166">
        <v>4276.6444444444442</v>
      </c>
      <c r="FJ13" s="166">
        <v>4198.1555555555551</v>
      </c>
      <c r="FK13" s="166">
        <v>4349.05</v>
      </c>
      <c r="FL13" s="166">
        <v>4729.9333333333334</v>
      </c>
      <c r="FM13" s="166">
        <v>4806.2055555555553</v>
      </c>
      <c r="FN13" s="166">
        <v>4649.1055555555558</v>
      </c>
      <c r="FO13" s="166">
        <v>3851.4944444444445</v>
      </c>
      <c r="FP13" s="166">
        <v>23813.25</v>
      </c>
      <c r="FQ13" s="166">
        <v>8547.2055555555562</v>
      </c>
      <c r="FR13" s="166">
        <v>18036.738888888889</v>
      </c>
      <c r="FS13" s="166">
        <v>35896.73333333333</v>
      </c>
      <c r="FT13" s="166">
        <v>50397.194444444438</v>
      </c>
      <c r="FU13" s="166">
        <v>53933.472222222219</v>
      </c>
      <c r="FV13" s="166">
        <v>6185.2777777777774</v>
      </c>
      <c r="FW13" s="166">
        <v>1345.5055555555555</v>
      </c>
      <c r="FX13" s="166">
        <v>7530.7833333333328</v>
      </c>
      <c r="FY13" s="166">
        <v>55278.977777777778</v>
      </c>
      <c r="FZ13" s="165">
        <v>26</v>
      </c>
      <c r="GA13" s="165">
        <v>3363</v>
      </c>
      <c r="GB13" s="165">
        <v>3389</v>
      </c>
      <c r="GC13" s="165">
        <v>3588</v>
      </c>
      <c r="GD13" s="165">
        <v>3586</v>
      </c>
      <c r="GE13" s="165">
        <v>3858</v>
      </c>
      <c r="GF13" s="165">
        <v>4042</v>
      </c>
      <c r="GG13" s="165">
        <v>3965</v>
      </c>
      <c r="GH13" s="165">
        <v>4096</v>
      </c>
      <c r="GI13" s="165">
        <v>4451</v>
      </c>
      <c r="GJ13" s="165">
        <v>4338</v>
      </c>
      <c r="GK13" s="165">
        <v>4780</v>
      </c>
      <c r="GL13" s="165">
        <v>4848</v>
      </c>
      <c r="GM13" s="165">
        <v>4868</v>
      </c>
      <c r="GN13" s="165">
        <v>4658</v>
      </c>
      <c r="GO13" s="165">
        <v>23135</v>
      </c>
      <c r="GP13" s="165">
        <v>8789</v>
      </c>
      <c r="GQ13" s="165">
        <v>19154</v>
      </c>
      <c r="GR13" s="165">
        <v>35313</v>
      </c>
      <c r="GS13" s="165">
        <v>51078</v>
      </c>
      <c r="GT13" s="165">
        <v>54467</v>
      </c>
      <c r="GU13" s="165">
        <v>17</v>
      </c>
      <c r="GV13" s="165">
        <v>26013</v>
      </c>
      <c r="GW13" s="165">
        <v>6098</v>
      </c>
      <c r="GX13" s="165">
        <v>1330</v>
      </c>
      <c r="GY13" s="165">
        <v>7428</v>
      </c>
      <c r="GZ13" s="165">
        <v>55797</v>
      </c>
      <c r="HA13" s="165">
        <v>14136</v>
      </c>
      <c r="HB13" s="166">
        <v>3283.5549999999985</v>
      </c>
      <c r="HC13" s="166">
        <v>3112.5549999999985</v>
      </c>
      <c r="HD13" s="166">
        <v>1273.2389999999989</v>
      </c>
      <c r="HE13" s="166">
        <v>1149.2160000000013</v>
      </c>
      <c r="HF13" s="166"/>
      <c r="HG13" s="166">
        <v>3316.248</v>
      </c>
      <c r="HH13" s="166">
        <v>679</v>
      </c>
      <c r="HI13" s="166">
        <v>7560</v>
      </c>
      <c r="HJ13" s="166">
        <v>8239</v>
      </c>
      <c r="HK13" s="166">
        <v>6148</v>
      </c>
      <c r="HL13" s="166">
        <v>1412</v>
      </c>
      <c r="HM13" s="166">
        <v>0</v>
      </c>
      <c r="HN13" s="166">
        <v>3232</v>
      </c>
      <c r="HO13" s="166">
        <v>48716</v>
      </c>
      <c r="HP13" s="166">
        <v>0</v>
      </c>
      <c r="HQ13" s="166">
        <v>0</v>
      </c>
      <c r="HR13" s="166">
        <v>0</v>
      </c>
      <c r="HS13" s="166">
        <v>51948</v>
      </c>
      <c r="HT13" s="166">
        <f>FY26_FE_Data_April15[[#This Row],[Oct 1, 2026 (CDC) - K]]+FY26_FE_Data_April15[[#This Row],[Oct 1, 2026 (CDC) - Grades 1-6]]+FY26_FE_Data_April15[[#This Row],[Oct 1, 2026 (CDC) - Grades 7-8]]</f>
        <v>3232</v>
      </c>
      <c r="HU13" s="166">
        <v>0</v>
      </c>
    </row>
    <row r="14" spans="1:229" ht="26">
      <c r="A14" s="158">
        <v>13</v>
      </c>
      <c r="B14" s="159" t="s">
        <v>307</v>
      </c>
      <c r="C14" s="160" t="s">
        <v>308</v>
      </c>
      <c r="D14" s="160" t="s">
        <v>87</v>
      </c>
      <c r="E14" s="159" t="s">
        <v>784</v>
      </c>
      <c r="F14" s="159" t="s">
        <v>784</v>
      </c>
      <c r="G14" s="159"/>
      <c r="H14" s="161">
        <v>1078.4388888888889</v>
      </c>
      <c r="I14" s="161">
        <v>118.63333333333334</v>
      </c>
      <c r="J14" s="161">
        <v>1197.0722222222223</v>
      </c>
      <c r="K14" s="162">
        <v>942</v>
      </c>
      <c r="L14" s="162">
        <v>6013</v>
      </c>
      <c r="M14" s="162">
        <v>1911</v>
      </c>
      <c r="N14" s="162">
        <v>3555</v>
      </c>
      <c r="O14" s="162">
        <v>12421</v>
      </c>
      <c r="P14" s="162">
        <v>11479</v>
      </c>
      <c r="Q14" s="162">
        <v>8866</v>
      </c>
      <c r="R14" s="162">
        <v>116</v>
      </c>
      <c r="S14" s="160">
        <v>941.35</v>
      </c>
      <c r="T14" s="160">
        <v>965.95555555555552</v>
      </c>
      <c r="U14" s="160">
        <v>1024.3666666666666</v>
      </c>
      <c r="V14" s="160">
        <v>1026.5611111111111</v>
      </c>
      <c r="W14" s="160">
        <v>1004.2611111111111</v>
      </c>
      <c r="X14" s="160">
        <v>965.75555555555559</v>
      </c>
      <c r="Y14" s="160">
        <v>970.76666666666665</v>
      </c>
      <c r="Z14" s="160">
        <v>981.85555555555561</v>
      </c>
      <c r="AA14" s="160">
        <v>889.62222222222226</v>
      </c>
      <c r="AB14" s="160">
        <v>926.42222222222222</v>
      </c>
      <c r="AC14" s="160">
        <v>914.88333333333333</v>
      </c>
      <c r="AD14" s="160">
        <v>836.36666666666667</v>
      </c>
      <c r="AE14" s="160">
        <v>724.05</v>
      </c>
      <c r="AF14" s="160">
        <v>5957.6666666666661</v>
      </c>
      <c r="AG14" s="160">
        <v>1871.4777777777779</v>
      </c>
      <c r="AH14" s="160">
        <v>3401.7222222222226</v>
      </c>
      <c r="AI14" s="160">
        <v>8770.4944444444445</v>
      </c>
      <c r="AJ14" s="160">
        <v>11230.866666666665</v>
      </c>
      <c r="AK14" s="160">
        <v>12172.216666666665</v>
      </c>
      <c r="AL14" s="161">
        <v>1126.0944444444444</v>
      </c>
      <c r="AM14" s="161">
        <v>119.98333333333333</v>
      </c>
      <c r="AN14" s="161">
        <v>1246.0777777777778</v>
      </c>
      <c r="AO14" s="161">
        <v>12292.199999999999</v>
      </c>
      <c r="AP14" s="162">
        <v>1051</v>
      </c>
      <c r="AQ14" s="168">
        <v>1162</v>
      </c>
      <c r="AR14" s="160">
        <v>1194</v>
      </c>
      <c r="AS14" s="160">
        <v>1206</v>
      </c>
      <c r="AT14" s="160">
        <v>1231</v>
      </c>
      <c r="AU14" s="160">
        <v>1194</v>
      </c>
      <c r="AV14" s="160">
        <v>1192</v>
      </c>
      <c r="AW14" s="160">
        <v>1173</v>
      </c>
      <c r="AX14" s="160">
        <v>1143</v>
      </c>
      <c r="AY14" s="160">
        <v>1024</v>
      </c>
      <c r="AZ14" s="160">
        <v>1044</v>
      </c>
      <c r="BA14" s="160">
        <v>986</v>
      </c>
      <c r="BB14" s="160">
        <v>879</v>
      </c>
      <c r="BC14" s="160">
        <v>7179</v>
      </c>
      <c r="BD14" s="160">
        <v>2316</v>
      </c>
      <c r="BE14" s="160">
        <v>3933</v>
      </c>
      <c r="BF14" s="160">
        <v>10546</v>
      </c>
      <c r="BG14" s="160">
        <v>13428</v>
      </c>
      <c r="BH14" s="160">
        <v>14479</v>
      </c>
      <c r="BI14" s="160">
        <v>1020</v>
      </c>
      <c r="BJ14" s="160">
        <v>31</v>
      </c>
      <c r="BK14" s="160">
        <v>5</v>
      </c>
      <c r="BL14" s="160">
        <v>4447</v>
      </c>
      <c r="BM14" s="160">
        <v>1160</v>
      </c>
      <c r="BN14" s="162">
        <v>156</v>
      </c>
      <c r="BO14" s="162">
        <v>1316</v>
      </c>
      <c r="BP14" s="162">
        <v>311</v>
      </c>
      <c r="BQ14" s="163">
        <v>8.5992793393067202E-2</v>
      </c>
      <c r="BR14" s="164">
        <v>612.38199999999995</v>
      </c>
      <c r="BS14" s="164">
        <v>584.38200000000006</v>
      </c>
      <c r="BT14" s="164">
        <v>549.13099999999997</v>
      </c>
      <c r="BU14" s="164">
        <v>604.88200000000018</v>
      </c>
      <c r="BV14" s="165">
        <v>0</v>
      </c>
      <c r="BW14" s="165">
        <v>0</v>
      </c>
      <c r="BX14" s="166">
        <v>0</v>
      </c>
      <c r="BY14" s="166">
        <v>27.644444</v>
      </c>
      <c r="BZ14" s="166">
        <v>1006.1111110000001</v>
      </c>
      <c r="CA14" s="166">
        <v>1033.7555555555555</v>
      </c>
      <c r="CB14" s="166">
        <v>1147.4611111111112</v>
      </c>
      <c r="CC14" s="166">
        <v>1169.3666666666666</v>
      </c>
      <c r="CD14" s="166">
        <v>1201.0722222222223</v>
      </c>
      <c r="CE14" s="166">
        <v>1221.8333333333333</v>
      </c>
      <c r="CF14" s="166">
        <v>1181.1055555555556</v>
      </c>
      <c r="CG14" s="166">
        <v>1160.0388888888888</v>
      </c>
      <c r="CH14" s="166">
        <v>1146.0222222222221</v>
      </c>
      <c r="CI14" s="166">
        <v>1120.6777777777777</v>
      </c>
      <c r="CJ14" s="166">
        <v>1007.1944444444445</v>
      </c>
      <c r="CK14" s="166">
        <v>1002.4888888888889</v>
      </c>
      <c r="CL14" s="166">
        <v>952.07222222222219</v>
      </c>
      <c r="CM14" s="166">
        <v>792.80555555555554</v>
      </c>
      <c r="CN14" s="166">
        <v>7080.8777777777777</v>
      </c>
      <c r="CO14" s="166">
        <v>2266.6999999999998</v>
      </c>
      <c r="CP14" s="166">
        <v>3754.5611111111111</v>
      </c>
      <c r="CQ14" s="166">
        <v>10381.333333333332</v>
      </c>
      <c r="CR14" s="166">
        <v>13102.138888888889</v>
      </c>
      <c r="CS14" s="166">
        <v>14135.894444444444</v>
      </c>
      <c r="CT14" s="166">
        <v>1156.8</v>
      </c>
      <c r="CU14" s="166">
        <v>158.73888888888899</v>
      </c>
      <c r="CV14" s="166">
        <v>1315.538888888889</v>
      </c>
      <c r="CW14" s="166">
        <v>14294.633333333333</v>
      </c>
      <c r="CX14" s="166">
        <v>0</v>
      </c>
      <c r="CY14" s="166">
        <v>963</v>
      </c>
      <c r="CZ14" s="165">
        <v>24</v>
      </c>
      <c r="DA14" s="165">
        <v>987</v>
      </c>
      <c r="DB14" s="165">
        <v>996</v>
      </c>
      <c r="DC14" s="165">
        <v>1111</v>
      </c>
      <c r="DD14" s="165">
        <v>1104</v>
      </c>
      <c r="DE14" s="165">
        <v>1144</v>
      </c>
      <c r="DF14" s="165">
        <v>1140</v>
      </c>
      <c r="DG14" s="165">
        <v>1139</v>
      </c>
      <c r="DH14" s="165">
        <v>1118</v>
      </c>
      <c r="DI14" s="165">
        <v>1115</v>
      </c>
      <c r="DJ14" s="165">
        <v>1111</v>
      </c>
      <c r="DK14" s="165">
        <v>1025</v>
      </c>
      <c r="DL14" s="165">
        <v>986</v>
      </c>
      <c r="DM14" s="165">
        <v>907</v>
      </c>
      <c r="DN14" s="165">
        <v>6634</v>
      </c>
      <c r="DO14" s="165">
        <v>2233</v>
      </c>
      <c r="DP14" s="165">
        <v>4029</v>
      </c>
      <c r="DQ14" s="165">
        <v>9854</v>
      </c>
      <c r="DR14" s="165">
        <v>12896</v>
      </c>
      <c r="DS14" s="165">
        <v>13883</v>
      </c>
      <c r="DT14" s="165">
        <v>4</v>
      </c>
      <c r="DU14" s="165">
        <v>4077</v>
      </c>
      <c r="DV14" s="165">
        <v>1140</v>
      </c>
      <c r="DW14" s="165">
        <v>162</v>
      </c>
      <c r="DX14" s="165">
        <v>1302</v>
      </c>
      <c r="DY14" s="165">
        <v>14045</v>
      </c>
      <c r="DZ14" s="165">
        <v>338</v>
      </c>
      <c r="EA14" s="166">
        <v>612.45999999999981</v>
      </c>
      <c r="EB14" s="166">
        <v>579.95999999999992</v>
      </c>
      <c r="EC14" s="166">
        <v>265.05500000000001</v>
      </c>
      <c r="ED14" s="166">
        <v>235.51400000000004</v>
      </c>
      <c r="EE14" s="166">
        <v>2</v>
      </c>
      <c r="EF14" s="166">
        <v>654.29</v>
      </c>
      <c r="EG14" s="167">
        <v>8.2960046404242371E-2</v>
      </c>
      <c r="EH14" s="165"/>
      <c r="EI14" s="165">
        <v>960</v>
      </c>
      <c r="EJ14" s="165">
        <v>12540</v>
      </c>
      <c r="EK14" s="165"/>
      <c r="EL14" s="165"/>
      <c r="EM14" s="166"/>
      <c r="EN14" s="165">
        <v>13500</v>
      </c>
      <c r="EO14" s="165">
        <v>139</v>
      </c>
      <c r="EP14" s="165">
        <v>1300</v>
      </c>
      <c r="EQ14" s="165">
        <v>1439</v>
      </c>
      <c r="ER14" s="165">
        <v>1144</v>
      </c>
      <c r="ES14" s="165">
        <v>156</v>
      </c>
      <c r="ET14" s="165">
        <v>135</v>
      </c>
      <c r="EU14" s="166">
        <v>268.88400000000001</v>
      </c>
      <c r="EV14" s="166">
        <v>6.8449999999999998</v>
      </c>
      <c r="EW14" s="166">
        <v>46.923000000000002</v>
      </c>
      <c r="EX14" s="166">
        <v>17.922999999999998</v>
      </c>
      <c r="EY14" s="166">
        <v>154.745</v>
      </c>
      <c r="EZ14" s="166">
        <v>495.32000000000005</v>
      </c>
      <c r="FA14" s="166">
        <v>21.761111111111113</v>
      </c>
      <c r="FB14" s="166">
        <v>942.13333333333333</v>
      </c>
      <c r="FC14" s="166">
        <v>963.89444444444439</v>
      </c>
      <c r="FD14" s="166">
        <v>980.30555555555554</v>
      </c>
      <c r="FE14" s="166">
        <v>1083.1722222222222</v>
      </c>
      <c r="FF14" s="166">
        <v>1095.5444444444445</v>
      </c>
      <c r="FG14" s="166">
        <v>1133.0444444444445</v>
      </c>
      <c r="FH14" s="166">
        <v>1131.2111111111112</v>
      </c>
      <c r="FI14" s="166">
        <v>1121.0611111111111</v>
      </c>
      <c r="FJ14" s="166">
        <v>1102.9888888888888</v>
      </c>
      <c r="FK14" s="166">
        <v>1078.4055555555556</v>
      </c>
      <c r="FL14" s="166">
        <v>1076.8611111111111</v>
      </c>
      <c r="FM14" s="166">
        <v>983.45555555555552</v>
      </c>
      <c r="FN14" s="166">
        <v>953.08888888888885</v>
      </c>
      <c r="FO14" s="166">
        <v>835.35</v>
      </c>
      <c r="FP14" s="166">
        <v>6544.3388888888885</v>
      </c>
      <c r="FQ14" s="166">
        <v>2181.3944444444442</v>
      </c>
      <c r="FR14" s="166">
        <v>3848.7555555555555</v>
      </c>
      <c r="FS14" s="166">
        <v>9689.6277777777777</v>
      </c>
      <c r="FT14" s="166">
        <v>12574.488888888891</v>
      </c>
      <c r="FU14" s="166">
        <v>13538.383333333335</v>
      </c>
      <c r="FV14" s="166">
        <v>1175.9555555555555</v>
      </c>
      <c r="FW14" s="166">
        <v>160.3388888888889</v>
      </c>
      <c r="FX14" s="166">
        <v>1336.2944444444445</v>
      </c>
      <c r="FY14" s="166">
        <v>13698.722222222224</v>
      </c>
      <c r="FZ14" s="165">
        <v>18</v>
      </c>
      <c r="GA14" s="165">
        <v>884</v>
      </c>
      <c r="GB14" s="165">
        <v>902</v>
      </c>
      <c r="GC14" s="165">
        <v>978</v>
      </c>
      <c r="GD14" s="165">
        <v>965</v>
      </c>
      <c r="GE14" s="165">
        <v>1049</v>
      </c>
      <c r="GF14" s="165">
        <v>1093</v>
      </c>
      <c r="GG14" s="165">
        <v>1115</v>
      </c>
      <c r="GH14" s="165">
        <v>1100</v>
      </c>
      <c r="GI14" s="165">
        <v>1114</v>
      </c>
      <c r="GJ14" s="165">
        <v>1055</v>
      </c>
      <c r="GK14" s="165">
        <v>1063</v>
      </c>
      <c r="GL14" s="165">
        <v>1064</v>
      </c>
      <c r="GM14" s="165">
        <v>965</v>
      </c>
      <c r="GN14" s="165">
        <v>944</v>
      </c>
      <c r="GO14" s="165">
        <v>6300</v>
      </c>
      <c r="GP14" s="165">
        <v>2169</v>
      </c>
      <c r="GQ14" s="165">
        <v>4036</v>
      </c>
      <c r="GR14" s="165">
        <v>9371</v>
      </c>
      <c r="GS14" s="165">
        <v>12505</v>
      </c>
      <c r="GT14" s="165">
        <v>13407</v>
      </c>
      <c r="GU14" s="165">
        <v>3</v>
      </c>
      <c r="GV14" s="165">
        <v>4050</v>
      </c>
      <c r="GW14" s="165">
        <v>1279</v>
      </c>
      <c r="GX14" s="165">
        <v>161</v>
      </c>
      <c r="GY14" s="165">
        <v>1440</v>
      </c>
      <c r="GZ14" s="165">
        <v>13568</v>
      </c>
      <c r="HA14" s="165">
        <v>323</v>
      </c>
      <c r="HB14" s="166">
        <v>626.44399999999996</v>
      </c>
      <c r="HC14" s="166">
        <v>593.44400000000007</v>
      </c>
      <c r="HD14" s="166">
        <v>272.68600000000004</v>
      </c>
      <c r="HE14" s="166">
        <v>238.90800000000007</v>
      </c>
      <c r="HF14" s="166"/>
      <c r="HG14" s="166">
        <v>638.274</v>
      </c>
      <c r="HH14" s="166">
        <v>122</v>
      </c>
      <c r="HI14" s="166">
        <v>1460</v>
      </c>
      <c r="HJ14" s="166">
        <v>1582</v>
      </c>
      <c r="HK14" s="166">
        <v>1298</v>
      </c>
      <c r="HL14" s="166">
        <v>162</v>
      </c>
      <c r="HM14" s="166">
        <v>148</v>
      </c>
      <c r="HN14" s="166">
        <v>862</v>
      </c>
      <c r="HO14" s="166">
        <v>11955</v>
      </c>
      <c r="HP14" s="166">
        <v>0</v>
      </c>
      <c r="HQ14" s="166">
        <v>0</v>
      </c>
      <c r="HR14" s="166">
        <v>0</v>
      </c>
      <c r="HS14" s="166">
        <v>12817</v>
      </c>
      <c r="HT14" s="166">
        <f>FY26_FE_Data_April15[[#This Row],[Oct 1, 2026 (CDC) - K]]+FY26_FE_Data_April15[[#This Row],[Oct 1, 2026 (CDC) - Grades 1-6]]+FY26_FE_Data_April15[[#This Row],[Oct 1, 2026 (CDC) - Grades 7-8]]</f>
        <v>862</v>
      </c>
      <c r="HU14" s="166">
        <v>0</v>
      </c>
    </row>
    <row r="15" spans="1:229" ht="26">
      <c r="A15" s="158">
        <v>14</v>
      </c>
      <c r="B15" s="159" t="s">
        <v>309</v>
      </c>
      <c r="C15" s="160" t="s">
        <v>310</v>
      </c>
      <c r="D15" s="160" t="s">
        <v>87</v>
      </c>
      <c r="E15" s="159" t="s">
        <v>784</v>
      </c>
      <c r="F15" s="159" t="s">
        <v>784</v>
      </c>
      <c r="G15" s="159"/>
      <c r="H15" s="161">
        <v>5749.55</v>
      </c>
      <c r="I15" s="161">
        <v>1178.6722222222222</v>
      </c>
      <c r="J15" s="161">
        <v>6928.2222222222226</v>
      </c>
      <c r="K15" s="162">
        <v>3616</v>
      </c>
      <c r="L15" s="162">
        <v>25095</v>
      </c>
      <c r="M15" s="162">
        <v>9273</v>
      </c>
      <c r="N15" s="162">
        <v>19845</v>
      </c>
      <c r="O15" s="162">
        <v>57829</v>
      </c>
      <c r="P15" s="162">
        <v>54213</v>
      </c>
      <c r="Q15" s="162">
        <v>37984</v>
      </c>
      <c r="R15" s="162">
        <v>1210</v>
      </c>
      <c r="S15" s="160">
        <v>3542.1222222222223</v>
      </c>
      <c r="T15" s="160">
        <v>3848.911111111111</v>
      </c>
      <c r="U15" s="160">
        <v>3943.9055555555556</v>
      </c>
      <c r="V15" s="160">
        <v>4056.3111111111111</v>
      </c>
      <c r="W15" s="160">
        <v>4286.1888888888889</v>
      </c>
      <c r="X15" s="160">
        <v>4174.95</v>
      </c>
      <c r="Y15" s="160">
        <v>4408.0222222222219</v>
      </c>
      <c r="Z15" s="160">
        <v>4517.6055555555558</v>
      </c>
      <c r="AA15" s="160">
        <v>4589.4555555555553</v>
      </c>
      <c r="AB15" s="160">
        <v>4742.1444444444442</v>
      </c>
      <c r="AC15" s="160">
        <v>4983.9944444444445</v>
      </c>
      <c r="AD15" s="160">
        <v>4862.333333333333</v>
      </c>
      <c r="AE15" s="160">
        <v>4111.7555555555555</v>
      </c>
      <c r="AF15" s="160">
        <v>24718.288888888888</v>
      </c>
      <c r="AG15" s="160">
        <v>9107.0611111111102</v>
      </c>
      <c r="AH15" s="160">
        <v>18700.227777777778</v>
      </c>
      <c r="AI15" s="160">
        <v>37367.472222222226</v>
      </c>
      <c r="AJ15" s="160">
        <v>52525.577777777769</v>
      </c>
      <c r="AK15" s="160">
        <v>56067.7</v>
      </c>
      <c r="AL15" s="161">
        <v>6044.1277777777777</v>
      </c>
      <c r="AM15" s="161">
        <v>1239.338888888889</v>
      </c>
      <c r="AN15" s="161">
        <v>7283.4666666666672</v>
      </c>
      <c r="AO15" s="161">
        <v>57307.038888888885</v>
      </c>
      <c r="AP15" s="162">
        <v>3191</v>
      </c>
      <c r="AQ15" s="168">
        <v>3789</v>
      </c>
      <c r="AR15" s="160">
        <v>4001</v>
      </c>
      <c r="AS15" s="160">
        <v>4121</v>
      </c>
      <c r="AT15" s="160">
        <v>4226</v>
      </c>
      <c r="AU15" s="160">
        <v>4458</v>
      </c>
      <c r="AV15" s="160">
        <v>4344</v>
      </c>
      <c r="AW15" s="160">
        <v>4640</v>
      </c>
      <c r="AX15" s="160">
        <v>4667</v>
      </c>
      <c r="AY15" s="160">
        <v>4597</v>
      </c>
      <c r="AZ15" s="160">
        <v>5193</v>
      </c>
      <c r="BA15" s="160">
        <v>5132</v>
      </c>
      <c r="BB15" s="160">
        <v>5077</v>
      </c>
      <c r="BC15" s="160">
        <v>24939</v>
      </c>
      <c r="BD15" s="160">
        <v>9307</v>
      </c>
      <c r="BE15" s="160">
        <v>19999</v>
      </c>
      <c r="BF15" s="160">
        <v>37437</v>
      </c>
      <c r="BG15" s="160">
        <v>54245</v>
      </c>
      <c r="BH15" s="160">
        <v>57436</v>
      </c>
      <c r="BI15" s="160">
        <v>1590</v>
      </c>
      <c r="BJ15" s="160">
        <v>1601</v>
      </c>
      <c r="BK15" s="160">
        <v>31</v>
      </c>
      <c r="BL15" s="160">
        <v>13566</v>
      </c>
      <c r="BM15" s="160">
        <v>6127</v>
      </c>
      <c r="BN15" s="162">
        <v>1289</v>
      </c>
      <c r="BO15" s="162">
        <v>7416</v>
      </c>
      <c r="BP15" s="162">
        <v>5035</v>
      </c>
      <c r="BQ15" s="163">
        <v>8.3005126298126064E-2</v>
      </c>
      <c r="BR15" s="164">
        <v>3373.7270000000021</v>
      </c>
      <c r="BS15" s="164">
        <v>3196.4510000000023</v>
      </c>
      <c r="BT15" s="164">
        <v>2888.9867000000008</v>
      </c>
      <c r="BU15" s="164">
        <v>3310.1370000000056</v>
      </c>
      <c r="BV15" s="165">
        <v>0</v>
      </c>
      <c r="BW15" s="165">
        <v>302</v>
      </c>
      <c r="BX15" s="166">
        <v>1704.6722219999999</v>
      </c>
      <c r="BY15" s="166">
        <v>1566.8444440000001</v>
      </c>
      <c r="BZ15" s="166">
        <v>1556.005555</v>
      </c>
      <c r="CA15" s="166">
        <v>3122.85</v>
      </c>
      <c r="CB15" s="166">
        <v>3719.9722222222222</v>
      </c>
      <c r="CC15" s="166">
        <v>3956</v>
      </c>
      <c r="CD15" s="166">
        <v>4074.4666666666667</v>
      </c>
      <c r="CE15" s="166">
        <v>4176.9111111111115</v>
      </c>
      <c r="CF15" s="166">
        <v>4385.95</v>
      </c>
      <c r="CG15" s="166">
        <v>4280.166666666667</v>
      </c>
      <c r="CH15" s="166">
        <v>4543.6944444444443</v>
      </c>
      <c r="CI15" s="166">
        <v>4587.083333333333</v>
      </c>
      <c r="CJ15" s="166">
        <v>4531.1499999999996</v>
      </c>
      <c r="CK15" s="166">
        <v>5090.7055555555553</v>
      </c>
      <c r="CL15" s="166">
        <v>5003.8777777777777</v>
      </c>
      <c r="CM15" s="166">
        <v>4229.0944444444449</v>
      </c>
      <c r="CN15" s="166">
        <v>24593.466666666671</v>
      </c>
      <c r="CO15" s="166">
        <v>9130.7777777777774</v>
      </c>
      <c r="CP15" s="166">
        <v>18854.827777777777</v>
      </c>
      <c r="CQ15" s="166">
        <v>36847.094444444447</v>
      </c>
      <c r="CR15" s="166">
        <v>52579.072222222232</v>
      </c>
      <c r="CS15" s="166">
        <v>55701.922222222231</v>
      </c>
      <c r="CT15" s="166">
        <v>6223.3388888888903</v>
      </c>
      <c r="CU15" s="166">
        <v>1301.38333333333</v>
      </c>
      <c r="CV15" s="166">
        <v>7524.7222222222208</v>
      </c>
      <c r="CW15" s="166">
        <v>57003.305555555562</v>
      </c>
      <c r="CX15" s="166">
        <v>1795</v>
      </c>
      <c r="CY15" s="166">
        <v>2311</v>
      </c>
      <c r="CZ15" s="165">
        <v>940</v>
      </c>
      <c r="DA15" s="165">
        <v>3251</v>
      </c>
      <c r="DB15" s="165">
        <v>3385</v>
      </c>
      <c r="DC15" s="165">
        <v>3862</v>
      </c>
      <c r="DD15" s="165">
        <v>4113</v>
      </c>
      <c r="DE15" s="165">
        <v>4194</v>
      </c>
      <c r="DF15" s="165">
        <v>4314</v>
      </c>
      <c r="DG15" s="165">
        <v>4547</v>
      </c>
      <c r="DH15" s="165">
        <v>4522</v>
      </c>
      <c r="DI15" s="165">
        <v>4734</v>
      </c>
      <c r="DJ15" s="165">
        <v>4664</v>
      </c>
      <c r="DK15" s="165">
        <v>5034</v>
      </c>
      <c r="DL15" s="165">
        <v>5235</v>
      </c>
      <c r="DM15" s="165">
        <v>5228</v>
      </c>
      <c r="DN15" s="165">
        <v>24415</v>
      </c>
      <c r="DO15" s="165">
        <v>9256</v>
      </c>
      <c r="DP15" s="165">
        <v>20161</v>
      </c>
      <c r="DQ15" s="165">
        <v>36922</v>
      </c>
      <c r="DR15" s="165">
        <v>53832</v>
      </c>
      <c r="DS15" s="165">
        <v>57083</v>
      </c>
      <c r="DT15" s="165">
        <v>22</v>
      </c>
      <c r="DU15" s="165">
        <v>14280</v>
      </c>
      <c r="DV15" s="165">
        <v>6420</v>
      </c>
      <c r="DW15" s="165">
        <v>1340</v>
      </c>
      <c r="DX15" s="165">
        <v>7760</v>
      </c>
      <c r="DY15" s="165">
        <v>58423</v>
      </c>
      <c r="DZ15" s="165">
        <v>5496</v>
      </c>
      <c r="EA15" s="166">
        <v>3363.3790000000017</v>
      </c>
      <c r="EB15" s="166">
        <v>3185.8790000000017</v>
      </c>
      <c r="EC15" s="166">
        <v>1381.1220000000001</v>
      </c>
      <c r="ED15" s="166">
        <v>1240.2019999999989</v>
      </c>
      <c r="EE15" s="166">
        <v>1</v>
      </c>
      <c r="EF15" s="166">
        <v>3432.365000000003</v>
      </c>
      <c r="EG15" s="167">
        <v>8.2448795423533006E-2</v>
      </c>
      <c r="EH15" s="165"/>
      <c r="EI15" s="165">
        <v>3206</v>
      </c>
      <c r="EJ15" s="165">
        <v>53094</v>
      </c>
      <c r="EK15" s="165"/>
      <c r="EL15" s="165"/>
      <c r="EM15" s="166"/>
      <c r="EN15" s="165">
        <v>56300</v>
      </c>
      <c r="EO15" s="165">
        <v>898</v>
      </c>
      <c r="EP15" s="165">
        <v>7760</v>
      </c>
      <c r="EQ15" s="165">
        <v>8658</v>
      </c>
      <c r="ER15" s="165">
        <v>6388</v>
      </c>
      <c r="ES15" s="165">
        <v>1372</v>
      </c>
      <c r="ET15" s="165">
        <v>291</v>
      </c>
      <c r="EU15" s="166">
        <v>909.1</v>
      </c>
      <c r="EV15" s="166">
        <v>51.1</v>
      </c>
      <c r="EW15" s="166">
        <v>272.2</v>
      </c>
      <c r="EX15" s="166">
        <v>180.9</v>
      </c>
      <c r="EY15" s="166">
        <v>894.2</v>
      </c>
      <c r="EZ15" s="166">
        <v>2307.5</v>
      </c>
      <c r="FA15" s="166">
        <v>907.20555555555552</v>
      </c>
      <c r="FB15" s="166">
        <v>2267.0333333333333</v>
      </c>
      <c r="FC15" s="166">
        <v>3174.2388888888891</v>
      </c>
      <c r="FD15" s="166">
        <v>3286.2277777777776</v>
      </c>
      <c r="FE15" s="166">
        <v>3763.7055555555557</v>
      </c>
      <c r="FF15" s="166">
        <v>4041.3277777777776</v>
      </c>
      <c r="FG15" s="166">
        <v>4119.1944444444443</v>
      </c>
      <c r="FH15" s="166">
        <v>4230.7444444444445</v>
      </c>
      <c r="FI15" s="166">
        <v>4444.4722222222226</v>
      </c>
      <c r="FJ15" s="166">
        <v>4389.2722222222219</v>
      </c>
      <c r="FK15" s="166">
        <v>4602.1499999999996</v>
      </c>
      <c r="FL15" s="166">
        <v>4551.3666666666668</v>
      </c>
      <c r="FM15" s="166">
        <v>4917.8666666666668</v>
      </c>
      <c r="FN15" s="166">
        <v>5099.8777777777777</v>
      </c>
      <c r="FO15" s="166">
        <v>4341.6444444444442</v>
      </c>
      <c r="FP15" s="166">
        <v>23885.672222222223</v>
      </c>
      <c r="FQ15" s="166">
        <v>8991.4222222222215</v>
      </c>
      <c r="FR15" s="166">
        <v>18910.755555555555</v>
      </c>
      <c r="FS15" s="166">
        <v>36051.333333333336</v>
      </c>
      <c r="FT15" s="166">
        <v>51787.850000000006</v>
      </c>
      <c r="FU15" s="166">
        <v>54962.088888888895</v>
      </c>
      <c r="FV15" s="166">
        <v>6437.9833333333336</v>
      </c>
      <c r="FW15" s="166">
        <v>1377.2833333333333</v>
      </c>
      <c r="FX15" s="166">
        <v>7815.2666666666664</v>
      </c>
      <c r="FY15" s="166">
        <v>56339.372222222228</v>
      </c>
      <c r="FZ15" s="165">
        <v>435</v>
      </c>
      <c r="GA15" s="165">
        <v>2842</v>
      </c>
      <c r="GB15" s="165">
        <v>3277</v>
      </c>
      <c r="GC15" s="165">
        <v>3389</v>
      </c>
      <c r="GD15" s="165">
        <v>3448</v>
      </c>
      <c r="GE15" s="165">
        <v>3857</v>
      </c>
      <c r="GF15" s="165">
        <v>4130</v>
      </c>
      <c r="GG15" s="165">
        <v>4216</v>
      </c>
      <c r="GH15" s="165">
        <v>4320</v>
      </c>
      <c r="GI15" s="165">
        <v>4602</v>
      </c>
      <c r="GJ15" s="165">
        <v>4524</v>
      </c>
      <c r="GK15" s="165">
        <v>4642</v>
      </c>
      <c r="GL15" s="165">
        <v>5011</v>
      </c>
      <c r="GM15" s="165">
        <v>5069</v>
      </c>
      <c r="GN15" s="165">
        <v>5335</v>
      </c>
      <c r="GO15" s="165">
        <v>23360</v>
      </c>
      <c r="GP15" s="165">
        <v>9126</v>
      </c>
      <c r="GQ15" s="165">
        <v>20057</v>
      </c>
      <c r="GR15" s="165">
        <v>35763</v>
      </c>
      <c r="GS15" s="165">
        <v>52543</v>
      </c>
      <c r="GT15" s="165">
        <v>55820</v>
      </c>
      <c r="GU15" s="165">
        <v>32</v>
      </c>
      <c r="GV15" s="165">
        <v>13330</v>
      </c>
      <c r="GW15" s="165">
        <v>6493</v>
      </c>
      <c r="GX15" s="165">
        <v>1428</v>
      </c>
      <c r="GY15" s="165">
        <v>7921</v>
      </c>
      <c r="GZ15" s="165">
        <v>57248</v>
      </c>
      <c r="HA15" s="165">
        <v>5084</v>
      </c>
      <c r="HB15" s="166">
        <v>3374.172860000001</v>
      </c>
      <c r="HC15" s="166">
        <v>3191.6728600000006</v>
      </c>
      <c r="HD15" s="166">
        <v>1346.42</v>
      </c>
      <c r="HE15" s="166">
        <v>1251.3009999999997</v>
      </c>
      <c r="HF15" s="166"/>
      <c r="HG15" s="166">
        <v>3390.5558599999999</v>
      </c>
      <c r="HH15" s="166">
        <v>783</v>
      </c>
      <c r="HI15" s="166">
        <v>7932</v>
      </c>
      <c r="HJ15" s="166">
        <v>8715</v>
      </c>
      <c r="HK15" s="166">
        <v>6516</v>
      </c>
      <c r="HL15" s="166">
        <v>1416</v>
      </c>
      <c r="HM15" s="166">
        <v>335</v>
      </c>
      <c r="HN15" s="166">
        <v>3126</v>
      </c>
      <c r="HO15" s="166">
        <v>50124</v>
      </c>
      <c r="HP15" s="166">
        <v>0</v>
      </c>
      <c r="HQ15" s="166">
        <v>0</v>
      </c>
      <c r="HR15" s="166">
        <v>0</v>
      </c>
      <c r="HS15" s="166">
        <v>53250</v>
      </c>
      <c r="HT15" s="166">
        <f>FY26_FE_Data_April15[[#This Row],[Oct 1, 2026 (CDC) - K]]+FY26_FE_Data_April15[[#This Row],[Oct 1, 2026 (CDC) - Grades 1-6]]+FY26_FE_Data_April15[[#This Row],[Oct 1, 2026 (CDC) - Grades 7-8]]</f>
        <v>3126</v>
      </c>
      <c r="HU15" s="166">
        <v>1899.588888</v>
      </c>
    </row>
    <row r="16" spans="1:229" ht="26">
      <c r="A16" s="158">
        <v>15</v>
      </c>
      <c r="B16" s="159" t="s">
        <v>311</v>
      </c>
      <c r="C16" s="160" t="s">
        <v>312</v>
      </c>
      <c r="D16" s="160" t="s">
        <v>87</v>
      </c>
      <c r="E16" s="159" t="s">
        <v>784</v>
      </c>
      <c r="F16" s="159" t="s">
        <v>784</v>
      </c>
      <c r="G16" s="159"/>
      <c r="H16" s="161">
        <v>278.25</v>
      </c>
      <c r="I16" s="161">
        <v>47.083333333333336</v>
      </c>
      <c r="J16" s="161">
        <v>325.33333333333331</v>
      </c>
      <c r="K16" s="162">
        <v>177</v>
      </c>
      <c r="L16" s="162">
        <v>1207</v>
      </c>
      <c r="M16" s="162">
        <v>431</v>
      </c>
      <c r="N16" s="162">
        <v>890</v>
      </c>
      <c r="O16" s="162">
        <v>2705</v>
      </c>
      <c r="P16" s="162">
        <v>2528</v>
      </c>
      <c r="Q16" s="162">
        <v>1815</v>
      </c>
      <c r="R16" s="162">
        <v>36</v>
      </c>
      <c r="S16" s="160">
        <v>176.23888888888888</v>
      </c>
      <c r="T16" s="160">
        <v>203.92777777777778</v>
      </c>
      <c r="U16" s="160">
        <v>185.36666666666667</v>
      </c>
      <c r="V16" s="160">
        <v>204.97777777777779</v>
      </c>
      <c r="W16" s="160">
        <v>180.70555555555555</v>
      </c>
      <c r="X16" s="160">
        <v>217.07777777777778</v>
      </c>
      <c r="Y16" s="160">
        <v>208.63888888888889</v>
      </c>
      <c r="Z16" s="160">
        <v>204.57777777777778</v>
      </c>
      <c r="AA16" s="160">
        <v>216.99444444444444</v>
      </c>
      <c r="AB16" s="160">
        <v>231.51666666666668</v>
      </c>
      <c r="AC16" s="160">
        <v>223.72777777777779</v>
      </c>
      <c r="AD16" s="160">
        <v>220.11111111111111</v>
      </c>
      <c r="AE16" s="160">
        <v>112.15555555555555</v>
      </c>
      <c r="AF16" s="160">
        <v>1200.6944444444443</v>
      </c>
      <c r="AG16" s="160">
        <v>421.57222222222219</v>
      </c>
      <c r="AH16" s="160">
        <v>787.51111111111118</v>
      </c>
      <c r="AI16" s="160">
        <v>1798.5055555555555</v>
      </c>
      <c r="AJ16" s="160">
        <v>2409.7777777777778</v>
      </c>
      <c r="AK16" s="160">
        <v>2586.0166666666669</v>
      </c>
      <c r="AL16" s="161">
        <v>294.32777777777778</v>
      </c>
      <c r="AM16" s="161">
        <v>37.06666666666667</v>
      </c>
      <c r="AN16" s="161">
        <v>331.39444444444445</v>
      </c>
      <c r="AO16" s="161">
        <v>2623.0833333333335</v>
      </c>
      <c r="AP16" s="162">
        <v>192</v>
      </c>
      <c r="AQ16" s="168">
        <v>180</v>
      </c>
      <c r="AR16" s="160">
        <v>203</v>
      </c>
      <c r="AS16" s="160">
        <v>186</v>
      </c>
      <c r="AT16" s="160">
        <v>204</v>
      </c>
      <c r="AU16" s="160">
        <v>185</v>
      </c>
      <c r="AV16" s="160">
        <v>228</v>
      </c>
      <c r="AW16" s="160">
        <v>207</v>
      </c>
      <c r="AX16" s="160">
        <v>213</v>
      </c>
      <c r="AY16" s="160">
        <v>228</v>
      </c>
      <c r="AZ16" s="160">
        <v>235</v>
      </c>
      <c r="BA16" s="160">
        <v>211</v>
      </c>
      <c r="BB16" s="160">
        <v>214</v>
      </c>
      <c r="BC16" s="160">
        <v>1186</v>
      </c>
      <c r="BD16" s="160">
        <v>420</v>
      </c>
      <c r="BE16" s="160">
        <v>888</v>
      </c>
      <c r="BF16" s="160">
        <v>1798</v>
      </c>
      <c r="BG16" s="160">
        <v>2494</v>
      </c>
      <c r="BH16" s="160">
        <v>2686</v>
      </c>
      <c r="BI16" s="160">
        <v>184</v>
      </c>
      <c r="BJ16" s="160">
        <v>8</v>
      </c>
      <c r="BK16" s="160">
        <v>0</v>
      </c>
      <c r="BL16" s="160">
        <v>682</v>
      </c>
      <c r="BM16" s="160">
        <v>295</v>
      </c>
      <c r="BN16" s="162">
        <v>32</v>
      </c>
      <c r="BO16" s="162">
        <v>327</v>
      </c>
      <c r="BP16" s="162">
        <v>0</v>
      </c>
      <c r="BQ16" s="163">
        <v>7.8334678229308563E-2</v>
      </c>
      <c r="BR16" s="164">
        <v>151.87299999999999</v>
      </c>
      <c r="BS16" s="164">
        <v>144.87300000000002</v>
      </c>
      <c r="BT16" s="164">
        <v>139.71000000000004</v>
      </c>
      <c r="BU16" s="164">
        <v>151.97299999999998</v>
      </c>
      <c r="BV16" s="165">
        <v>0</v>
      </c>
      <c r="BW16" s="165">
        <v>0</v>
      </c>
      <c r="BX16" s="166">
        <v>0</v>
      </c>
      <c r="BY16" s="166">
        <v>5</v>
      </c>
      <c r="BZ16" s="166">
        <v>190.227777</v>
      </c>
      <c r="CA16" s="166">
        <v>195.22777777777779</v>
      </c>
      <c r="CB16" s="166">
        <v>182.73888888888888</v>
      </c>
      <c r="CC16" s="166">
        <v>203.44444444444446</v>
      </c>
      <c r="CD16" s="166">
        <v>186.53333333333333</v>
      </c>
      <c r="CE16" s="166">
        <v>204.72222222222223</v>
      </c>
      <c r="CF16" s="166">
        <v>186.60555555555555</v>
      </c>
      <c r="CG16" s="166">
        <v>225.5611111111111</v>
      </c>
      <c r="CH16" s="166">
        <v>207.30555555555554</v>
      </c>
      <c r="CI16" s="166">
        <v>212.16666666666666</v>
      </c>
      <c r="CJ16" s="166">
        <v>221.70555555555555</v>
      </c>
      <c r="CK16" s="166">
        <v>229.16666666666666</v>
      </c>
      <c r="CL16" s="166">
        <v>208.87777777777777</v>
      </c>
      <c r="CM16" s="166">
        <v>121.47777777777777</v>
      </c>
      <c r="CN16" s="166">
        <v>1189.6055555555556</v>
      </c>
      <c r="CO16" s="166">
        <v>419.47222222222217</v>
      </c>
      <c r="CP16" s="166">
        <v>781.22777777777776</v>
      </c>
      <c r="CQ16" s="166">
        <v>1804.3055555555559</v>
      </c>
      <c r="CR16" s="166">
        <v>2390.3055555555552</v>
      </c>
      <c r="CS16" s="166">
        <v>2585.5333333333333</v>
      </c>
      <c r="CT16" s="166">
        <v>294.24444444444401</v>
      </c>
      <c r="CU16" s="166">
        <v>32.061111111111103</v>
      </c>
      <c r="CV16" s="166">
        <v>326.30555555555509</v>
      </c>
      <c r="CW16" s="166">
        <v>2617.5944444444444</v>
      </c>
      <c r="CX16" s="166">
        <v>0</v>
      </c>
      <c r="CY16" s="166">
        <v>159</v>
      </c>
      <c r="CZ16" s="165">
        <v>12</v>
      </c>
      <c r="DA16" s="165">
        <v>171</v>
      </c>
      <c r="DB16" s="165">
        <v>202</v>
      </c>
      <c r="DC16" s="165">
        <v>187</v>
      </c>
      <c r="DD16" s="165">
        <v>217</v>
      </c>
      <c r="DE16" s="165">
        <v>188</v>
      </c>
      <c r="DF16" s="165">
        <v>215</v>
      </c>
      <c r="DG16" s="165">
        <v>187</v>
      </c>
      <c r="DH16" s="165">
        <v>231</v>
      </c>
      <c r="DI16" s="165">
        <v>211</v>
      </c>
      <c r="DJ16" s="165">
        <v>226</v>
      </c>
      <c r="DK16" s="165">
        <v>230</v>
      </c>
      <c r="DL16" s="165">
        <v>236</v>
      </c>
      <c r="DM16" s="165">
        <v>204</v>
      </c>
      <c r="DN16" s="165">
        <v>1196</v>
      </c>
      <c r="DO16" s="165">
        <v>442</v>
      </c>
      <c r="DP16" s="165">
        <v>896</v>
      </c>
      <c r="DQ16" s="165">
        <v>1809</v>
      </c>
      <c r="DR16" s="165">
        <v>2534</v>
      </c>
      <c r="DS16" s="165">
        <v>2705</v>
      </c>
      <c r="DT16" s="165">
        <v>2</v>
      </c>
      <c r="DU16" s="165">
        <v>647</v>
      </c>
      <c r="DV16" s="165">
        <v>301</v>
      </c>
      <c r="DW16" s="165">
        <v>37</v>
      </c>
      <c r="DX16" s="165">
        <v>338</v>
      </c>
      <c r="DY16" s="165">
        <v>2742</v>
      </c>
      <c r="DZ16" s="165">
        <v>45</v>
      </c>
      <c r="EA16" s="166">
        <v>151.41900000000001</v>
      </c>
      <c r="EB16" s="166">
        <v>144.41900000000001</v>
      </c>
      <c r="EC16" s="166">
        <v>67.814999999999998</v>
      </c>
      <c r="ED16" s="166">
        <v>57.675000000000004</v>
      </c>
      <c r="EE16" s="166">
        <v>0</v>
      </c>
      <c r="EF16" s="166">
        <v>153.41899999999998</v>
      </c>
      <c r="EG16" s="167">
        <v>7.7578695567924072E-2</v>
      </c>
      <c r="EH16" s="165"/>
      <c r="EI16" s="165">
        <v>165</v>
      </c>
      <c r="EJ16" s="165">
        <v>2449</v>
      </c>
      <c r="EK16" s="165"/>
      <c r="EL16" s="165"/>
      <c r="EM16" s="166"/>
      <c r="EN16" s="165">
        <v>2614</v>
      </c>
      <c r="EO16" s="165">
        <v>35</v>
      </c>
      <c r="EP16" s="165">
        <v>341</v>
      </c>
      <c r="EQ16" s="165">
        <v>376</v>
      </c>
      <c r="ER16" s="165">
        <v>304</v>
      </c>
      <c r="ES16" s="165">
        <v>37</v>
      </c>
      <c r="ET16" s="165">
        <v>26</v>
      </c>
      <c r="EU16" s="166">
        <v>65</v>
      </c>
      <c r="EV16" s="166">
        <v>3.5</v>
      </c>
      <c r="EW16" s="166">
        <v>11</v>
      </c>
      <c r="EX16" s="166">
        <v>10</v>
      </c>
      <c r="EY16" s="166">
        <v>52.5</v>
      </c>
      <c r="EZ16" s="166">
        <v>142</v>
      </c>
      <c r="FA16" s="166">
        <v>6.1222222222222218</v>
      </c>
      <c r="FB16" s="166">
        <v>165.45</v>
      </c>
      <c r="FC16" s="166">
        <v>171.57222222222222</v>
      </c>
      <c r="FD16" s="166">
        <v>194.0611111111111</v>
      </c>
      <c r="FE16" s="166">
        <v>187.00555555555556</v>
      </c>
      <c r="FF16" s="166">
        <v>214.40555555555557</v>
      </c>
      <c r="FG16" s="166">
        <v>188.34444444444443</v>
      </c>
      <c r="FH16" s="166">
        <v>211.78333333333333</v>
      </c>
      <c r="FI16" s="166">
        <v>184.27222222222221</v>
      </c>
      <c r="FJ16" s="166">
        <v>222.6</v>
      </c>
      <c r="FK16" s="166">
        <v>209.27777777777777</v>
      </c>
      <c r="FL16" s="166">
        <v>227.1</v>
      </c>
      <c r="FM16" s="166">
        <v>221.6888888888889</v>
      </c>
      <c r="FN16" s="166">
        <v>226.74444444444444</v>
      </c>
      <c r="FO16" s="166">
        <v>112.40555555555555</v>
      </c>
      <c r="FP16" s="166">
        <v>1179.872222222222</v>
      </c>
      <c r="FQ16" s="166">
        <v>431.87777777777774</v>
      </c>
      <c r="FR16" s="166">
        <v>787.93888888888887</v>
      </c>
      <c r="FS16" s="166">
        <v>1783.3222222222221</v>
      </c>
      <c r="FT16" s="166">
        <v>2399.6888888888889</v>
      </c>
      <c r="FU16" s="166">
        <v>2571.2611111111109</v>
      </c>
      <c r="FV16" s="166">
        <v>296.99444444444447</v>
      </c>
      <c r="FW16" s="166">
        <v>36.87777777777778</v>
      </c>
      <c r="FX16" s="166">
        <v>333.87222222222226</v>
      </c>
      <c r="FY16" s="166">
        <v>2608.1388888888887</v>
      </c>
      <c r="FZ16" s="165">
        <v>11</v>
      </c>
      <c r="GA16" s="165">
        <v>155</v>
      </c>
      <c r="GB16" s="165">
        <v>166</v>
      </c>
      <c r="GC16" s="165">
        <v>177</v>
      </c>
      <c r="GD16" s="165">
        <v>195</v>
      </c>
      <c r="GE16" s="165">
        <v>195</v>
      </c>
      <c r="GF16" s="165">
        <v>218</v>
      </c>
      <c r="GG16" s="165">
        <v>190</v>
      </c>
      <c r="GH16" s="165">
        <v>210</v>
      </c>
      <c r="GI16" s="165">
        <v>193</v>
      </c>
      <c r="GJ16" s="165">
        <v>217</v>
      </c>
      <c r="GK16" s="165">
        <v>218</v>
      </c>
      <c r="GL16" s="165">
        <v>233</v>
      </c>
      <c r="GM16" s="165">
        <v>217</v>
      </c>
      <c r="GN16" s="165">
        <v>225</v>
      </c>
      <c r="GO16" s="165">
        <v>1185</v>
      </c>
      <c r="GP16" s="165">
        <v>410</v>
      </c>
      <c r="GQ16" s="165">
        <v>893</v>
      </c>
      <c r="GR16" s="165">
        <v>1761</v>
      </c>
      <c r="GS16" s="165">
        <v>2488</v>
      </c>
      <c r="GT16" s="165">
        <v>2654</v>
      </c>
      <c r="GU16" s="165">
        <v>2</v>
      </c>
      <c r="GV16" s="165">
        <v>649</v>
      </c>
      <c r="GW16" s="165">
        <v>287</v>
      </c>
      <c r="GX16" s="165">
        <v>28</v>
      </c>
      <c r="GY16" s="165">
        <v>315</v>
      </c>
      <c r="GZ16" s="165">
        <v>2682</v>
      </c>
      <c r="HA16" s="165">
        <v>49</v>
      </c>
      <c r="HB16" s="166">
        <v>154.42400000000001</v>
      </c>
      <c r="HC16" s="166">
        <v>145.42400000000001</v>
      </c>
      <c r="HD16" s="166">
        <v>67.775000000000006</v>
      </c>
      <c r="HE16" s="166">
        <v>59.015999999999991</v>
      </c>
      <c r="HF16" s="166"/>
      <c r="HG16" s="166">
        <v>156.42400000000001</v>
      </c>
      <c r="HH16" s="166">
        <v>31</v>
      </c>
      <c r="HI16" s="166">
        <v>319</v>
      </c>
      <c r="HJ16" s="166">
        <v>350</v>
      </c>
      <c r="HK16" s="166">
        <v>292</v>
      </c>
      <c r="HL16" s="166">
        <v>27</v>
      </c>
      <c r="HM16" s="166">
        <v>21</v>
      </c>
      <c r="HN16" s="166">
        <v>159</v>
      </c>
      <c r="HO16" s="166">
        <v>2391</v>
      </c>
      <c r="HP16" s="166">
        <v>0</v>
      </c>
      <c r="HQ16" s="166">
        <v>0</v>
      </c>
      <c r="HR16" s="166">
        <v>0</v>
      </c>
      <c r="HS16" s="166">
        <v>2550</v>
      </c>
      <c r="HT16" s="166">
        <f>FY26_FE_Data_April15[[#This Row],[Oct 1, 2026 (CDC) - K]]+FY26_FE_Data_April15[[#This Row],[Oct 1, 2026 (CDC) - Grades 1-6]]+FY26_FE_Data_April15[[#This Row],[Oct 1, 2026 (CDC) - Grades 7-8]]</f>
        <v>159</v>
      </c>
      <c r="HU16" s="166">
        <v>0</v>
      </c>
    </row>
    <row r="17" spans="1:229" ht="26">
      <c r="A17" s="158">
        <v>16</v>
      </c>
      <c r="B17" s="159" t="s">
        <v>313</v>
      </c>
      <c r="C17" s="160" t="s">
        <v>314</v>
      </c>
      <c r="D17" s="160" t="s">
        <v>87</v>
      </c>
      <c r="E17" s="159" t="s">
        <v>784</v>
      </c>
      <c r="F17" s="159" t="s">
        <v>784</v>
      </c>
      <c r="G17" s="159"/>
      <c r="H17" s="161">
        <v>143.18333333333334</v>
      </c>
      <c r="I17" s="161">
        <v>17.677777777777777</v>
      </c>
      <c r="J17" s="161">
        <v>160.86111111111111</v>
      </c>
      <c r="K17" s="162">
        <v>106</v>
      </c>
      <c r="L17" s="162">
        <v>637</v>
      </c>
      <c r="M17" s="162">
        <v>241</v>
      </c>
      <c r="N17" s="162">
        <v>440</v>
      </c>
      <c r="O17" s="162">
        <v>1424</v>
      </c>
      <c r="P17" s="162">
        <v>1318</v>
      </c>
      <c r="Q17" s="162">
        <v>984</v>
      </c>
      <c r="R17" s="162">
        <v>19</v>
      </c>
      <c r="S17" s="160">
        <v>102.81111111111112</v>
      </c>
      <c r="T17" s="160">
        <v>126.23888888888889</v>
      </c>
      <c r="U17" s="160">
        <v>90.38333333333334</v>
      </c>
      <c r="V17" s="160">
        <v>112.76111111111111</v>
      </c>
      <c r="W17" s="160">
        <v>101.36666666666666</v>
      </c>
      <c r="X17" s="160">
        <v>107.41666666666667</v>
      </c>
      <c r="Y17" s="160">
        <v>95.177777777777777</v>
      </c>
      <c r="Z17" s="160">
        <v>111.11666666666666</v>
      </c>
      <c r="AA17" s="160">
        <v>123.45555555555555</v>
      </c>
      <c r="AB17" s="160">
        <v>117.44444444444444</v>
      </c>
      <c r="AC17" s="160">
        <v>110.26111111111111</v>
      </c>
      <c r="AD17" s="160">
        <v>102.27777777777777</v>
      </c>
      <c r="AE17" s="160">
        <v>99.388888888888886</v>
      </c>
      <c r="AF17" s="160">
        <v>633.34444444444443</v>
      </c>
      <c r="AG17" s="160">
        <v>234.57222222222219</v>
      </c>
      <c r="AH17" s="160">
        <v>429.37222222222226</v>
      </c>
      <c r="AI17" s="160">
        <v>970.72777777777776</v>
      </c>
      <c r="AJ17" s="160">
        <v>1297.288888888889</v>
      </c>
      <c r="AK17" s="160">
        <v>1400.1000000000001</v>
      </c>
      <c r="AL17" s="161">
        <v>152.30555555555554</v>
      </c>
      <c r="AM17" s="161">
        <v>17.866666666666667</v>
      </c>
      <c r="AN17" s="161">
        <v>170.17222222222222</v>
      </c>
      <c r="AO17" s="161">
        <v>1417.9666666666667</v>
      </c>
      <c r="AP17" s="162">
        <v>100</v>
      </c>
      <c r="AQ17" s="168">
        <v>102</v>
      </c>
      <c r="AR17" s="160">
        <v>129</v>
      </c>
      <c r="AS17" s="160">
        <v>97</v>
      </c>
      <c r="AT17" s="160">
        <v>120</v>
      </c>
      <c r="AU17" s="160">
        <v>102</v>
      </c>
      <c r="AV17" s="160">
        <v>112</v>
      </c>
      <c r="AW17" s="160">
        <v>97</v>
      </c>
      <c r="AX17" s="160">
        <v>111</v>
      </c>
      <c r="AY17" s="160">
        <v>123</v>
      </c>
      <c r="AZ17" s="160">
        <v>121</v>
      </c>
      <c r="BA17" s="160">
        <v>112</v>
      </c>
      <c r="BB17" s="160">
        <v>100</v>
      </c>
      <c r="BC17" s="160">
        <v>662</v>
      </c>
      <c r="BD17" s="160">
        <v>208</v>
      </c>
      <c r="BE17" s="160">
        <v>456</v>
      </c>
      <c r="BF17" s="160">
        <v>970</v>
      </c>
      <c r="BG17" s="160">
        <v>1326</v>
      </c>
      <c r="BH17" s="160">
        <v>1426</v>
      </c>
      <c r="BI17" s="160">
        <v>88</v>
      </c>
      <c r="BJ17" s="160">
        <v>12</v>
      </c>
      <c r="BK17" s="160">
        <v>2</v>
      </c>
      <c r="BL17" s="160">
        <v>529</v>
      </c>
      <c r="BM17" s="160">
        <v>165</v>
      </c>
      <c r="BN17" s="162">
        <v>19</v>
      </c>
      <c r="BO17" s="162">
        <v>184</v>
      </c>
      <c r="BP17" s="162">
        <v>20</v>
      </c>
      <c r="BQ17" s="163">
        <v>8.9502427184466105E-2</v>
      </c>
      <c r="BR17" s="164">
        <v>84.2</v>
      </c>
      <c r="BS17" s="164">
        <v>79.900000000000006</v>
      </c>
      <c r="BT17" s="164">
        <v>76.300000000000011</v>
      </c>
      <c r="BU17" s="164">
        <v>83.2</v>
      </c>
      <c r="BV17" s="165">
        <v>0</v>
      </c>
      <c r="BW17" s="165">
        <v>0</v>
      </c>
      <c r="BX17" s="166">
        <v>0</v>
      </c>
      <c r="BY17" s="166">
        <v>6.2111109999999998</v>
      </c>
      <c r="BZ17" s="166">
        <v>91.055554999999998</v>
      </c>
      <c r="CA17" s="166">
        <v>97.266666666666666</v>
      </c>
      <c r="CB17" s="166">
        <v>101.63333333333334</v>
      </c>
      <c r="CC17" s="166">
        <v>122.96111111111111</v>
      </c>
      <c r="CD17" s="166">
        <v>96.055555555555557</v>
      </c>
      <c r="CE17" s="166">
        <v>120.3</v>
      </c>
      <c r="CF17" s="166">
        <v>101.68888888888888</v>
      </c>
      <c r="CG17" s="166">
        <v>109.4</v>
      </c>
      <c r="CH17" s="166">
        <v>93.566666666666663</v>
      </c>
      <c r="CI17" s="166">
        <v>106.66111111111111</v>
      </c>
      <c r="CJ17" s="166">
        <v>116.79444444444445</v>
      </c>
      <c r="CK17" s="166">
        <v>112.96666666666667</v>
      </c>
      <c r="CL17" s="166">
        <v>108.60555555555555</v>
      </c>
      <c r="CM17" s="166">
        <v>94.927777777777777</v>
      </c>
      <c r="CN17" s="166">
        <v>652.03888888888889</v>
      </c>
      <c r="CO17" s="166">
        <v>200.22777777777776</v>
      </c>
      <c r="CP17" s="166">
        <v>433.29444444444448</v>
      </c>
      <c r="CQ17" s="166">
        <v>949.53333333333319</v>
      </c>
      <c r="CR17" s="166">
        <v>1285.5611111111111</v>
      </c>
      <c r="CS17" s="166">
        <v>1382.8277777777776</v>
      </c>
      <c r="CT17" s="166">
        <v>161.28333333333299</v>
      </c>
      <c r="CU17" s="166">
        <v>17.6111111111111</v>
      </c>
      <c r="CV17" s="166">
        <v>178.8944444444441</v>
      </c>
      <c r="CW17" s="166">
        <v>1400.4388888888886</v>
      </c>
      <c r="CX17" s="166">
        <v>0</v>
      </c>
      <c r="CY17" s="166">
        <v>93</v>
      </c>
      <c r="CZ17" s="165">
        <v>6</v>
      </c>
      <c r="DA17" s="165">
        <v>99</v>
      </c>
      <c r="DB17" s="165">
        <v>97</v>
      </c>
      <c r="DC17" s="165">
        <v>102</v>
      </c>
      <c r="DD17" s="165">
        <v>124</v>
      </c>
      <c r="DE17" s="165">
        <v>98</v>
      </c>
      <c r="DF17" s="165">
        <v>113</v>
      </c>
      <c r="DG17" s="165">
        <v>104</v>
      </c>
      <c r="DH17" s="165">
        <v>121</v>
      </c>
      <c r="DI17" s="165">
        <v>95</v>
      </c>
      <c r="DJ17" s="165">
        <v>117</v>
      </c>
      <c r="DK17" s="165">
        <v>123</v>
      </c>
      <c r="DL17" s="165">
        <v>110</v>
      </c>
      <c r="DM17" s="165">
        <v>105</v>
      </c>
      <c r="DN17" s="165">
        <v>638</v>
      </c>
      <c r="DO17" s="165">
        <v>216</v>
      </c>
      <c r="DP17" s="165">
        <v>455</v>
      </c>
      <c r="DQ17" s="165">
        <v>953</v>
      </c>
      <c r="DR17" s="165">
        <v>1309</v>
      </c>
      <c r="DS17" s="165">
        <v>1408</v>
      </c>
      <c r="DT17" s="165">
        <v>3</v>
      </c>
      <c r="DU17" s="165">
        <v>496</v>
      </c>
      <c r="DV17" s="165">
        <v>161</v>
      </c>
      <c r="DW17" s="165">
        <v>16</v>
      </c>
      <c r="DX17" s="165">
        <v>177</v>
      </c>
      <c r="DY17" s="165">
        <v>1424</v>
      </c>
      <c r="DZ17" s="165">
        <v>21</v>
      </c>
      <c r="EA17" s="166">
        <v>85.425000000000011</v>
      </c>
      <c r="EB17" s="166">
        <v>80.825000000000017</v>
      </c>
      <c r="EC17" s="166">
        <v>36.629999999999995</v>
      </c>
      <c r="ED17" s="166">
        <v>34.954000000000001</v>
      </c>
      <c r="EE17" s="166">
        <v>0</v>
      </c>
      <c r="EF17" s="166">
        <v>85.775000000000006</v>
      </c>
      <c r="EG17" s="167">
        <v>9.2458432304038107E-2</v>
      </c>
      <c r="EH17" s="165"/>
      <c r="EI17" s="165">
        <v>97</v>
      </c>
      <c r="EJ17" s="165">
        <v>1288</v>
      </c>
      <c r="EK17" s="165"/>
      <c r="EL17" s="165"/>
      <c r="EM17" s="166"/>
      <c r="EN17" s="165">
        <v>1385</v>
      </c>
      <c r="EO17" s="165">
        <v>14</v>
      </c>
      <c r="EP17" s="165">
        <v>173</v>
      </c>
      <c r="EQ17" s="165">
        <v>187</v>
      </c>
      <c r="ER17" s="165">
        <v>155</v>
      </c>
      <c r="ES17" s="165">
        <v>18</v>
      </c>
      <c r="ET17" s="165">
        <v>16</v>
      </c>
      <c r="EU17" s="166">
        <v>59</v>
      </c>
      <c r="EV17" s="166">
        <v>4</v>
      </c>
      <c r="EW17" s="166">
        <v>9</v>
      </c>
      <c r="EX17" s="166">
        <v>1</v>
      </c>
      <c r="EY17" s="166">
        <v>35</v>
      </c>
      <c r="EZ17" s="166">
        <v>108</v>
      </c>
      <c r="FA17" s="166">
        <v>0</v>
      </c>
      <c r="FB17" s="166">
        <v>99.488888888888894</v>
      </c>
      <c r="FC17" s="166">
        <v>99.488888888888894</v>
      </c>
      <c r="FD17" s="166">
        <v>91.816666666666663</v>
      </c>
      <c r="FE17" s="166">
        <v>101.05555555555556</v>
      </c>
      <c r="FF17" s="166">
        <v>123.12222222222222</v>
      </c>
      <c r="FG17" s="166">
        <v>98.477777777777774</v>
      </c>
      <c r="FH17" s="166">
        <v>112.20555555555555</v>
      </c>
      <c r="FI17" s="166">
        <v>102.55</v>
      </c>
      <c r="FJ17" s="166">
        <v>115.64444444444445</v>
      </c>
      <c r="FK17" s="166">
        <v>89.65</v>
      </c>
      <c r="FL17" s="166">
        <v>110.18333333333334</v>
      </c>
      <c r="FM17" s="166">
        <v>120.18888888888888</v>
      </c>
      <c r="FN17" s="166">
        <v>107.65555555555555</v>
      </c>
      <c r="FO17" s="166">
        <v>103.52777777777777</v>
      </c>
      <c r="FP17" s="166">
        <v>629.22777777777765</v>
      </c>
      <c r="FQ17" s="166">
        <v>205.29444444444445</v>
      </c>
      <c r="FR17" s="166">
        <v>441.55555555555554</v>
      </c>
      <c r="FS17" s="166">
        <v>934.01111111111106</v>
      </c>
      <c r="FT17" s="166">
        <v>1276.0777777777776</v>
      </c>
      <c r="FU17" s="166">
        <v>1375.5666666666666</v>
      </c>
      <c r="FV17" s="166">
        <v>156.97777777777779</v>
      </c>
      <c r="FW17" s="166">
        <v>17.161111111111111</v>
      </c>
      <c r="FX17" s="166">
        <v>174.13888888888891</v>
      </c>
      <c r="FY17" s="166">
        <v>1392.7277777777776</v>
      </c>
      <c r="FZ17" s="165">
        <v>3</v>
      </c>
      <c r="GA17" s="165">
        <v>84</v>
      </c>
      <c r="GB17" s="165">
        <v>87</v>
      </c>
      <c r="GC17" s="165">
        <v>98</v>
      </c>
      <c r="GD17" s="165">
        <v>97</v>
      </c>
      <c r="GE17" s="165">
        <v>99</v>
      </c>
      <c r="GF17" s="165">
        <v>122</v>
      </c>
      <c r="GG17" s="165">
        <v>100</v>
      </c>
      <c r="GH17" s="165">
        <v>108</v>
      </c>
      <c r="GI17" s="165">
        <v>107</v>
      </c>
      <c r="GJ17" s="165">
        <v>126</v>
      </c>
      <c r="GK17" s="165">
        <v>98</v>
      </c>
      <c r="GL17" s="165">
        <v>113</v>
      </c>
      <c r="GM17" s="165">
        <v>123</v>
      </c>
      <c r="GN17" s="165">
        <v>108</v>
      </c>
      <c r="GO17" s="165">
        <v>624</v>
      </c>
      <c r="GP17" s="165">
        <v>233</v>
      </c>
      <c r="GQ17" s="165">
        <v>442</v>
      </c>
      <c r="GR17" s="165">
        <v>944</v>
      </c>
      <c r="GS17" s="165">
        <v>1299</v>
      </c>
      <c r="GT17" s="165">
        <v>1386</v>
      </c>
      <c r="GU17" s="165">
        <v>3</v>
      </c>
      <c r="GV17" s="165">
        <v>475</v>
      </c>
      <c r="GW17" s="165">
        <v>161</v>
      </c>
      <c r="GX17" s="165">
        <v>16</v>
      </c>
      <c r="GY17" s="165">
        <v>177</v>
      </c>
      <c r="GZ17" s="165">
        <v>1402</v>
      </c>
      <c r="HA17" s="165">
        <v>25</v>
      </c>
      <c r="HB17" s="166">
        <v>83.675000000000026</v>
      </c>
      <c r="HC17" s="166">
        <v>79.075000000000031</v>
      </c>
      <c r="HD17" s="166">
        <v>37.099999999999994</v>
      </c>
      <c r="HE17" s="166">
        <v>33.70300000000001</v>
      </c>
      <c r="HF17" s="166"/>
      <c r="HG17" s="166">
        <v>84.965000000000003</v>
      </c>
      <c r="HH17" s="166">
        <v>12</v>
      </c>
      <c r="HI17" s="166">
        <v>177</v>
      </c>
      <c r="HJ17" s="166">
        <v>189</v>
      </c>
      <c r="HK17" s="166">
        <v>160</v>
      </c>
      <c r="HL17" s="166">
        <v>17</v>
      </c>
      <c r="HM17" s="166">
        <v>11</v>
      </c>
      <c r="HN17" s="166">
        <v>85</v>
      </c>
      <c r="HO17" s="166">
        <v>1265</v>
      </c>
      <c r="HP17" s="166">
        <v>0</v>
      </c>
      <c r="HQ17" s="166">
        <v>0</v>
      </c>
      <c r="HR17" s="166">
        <v>0</v>
      </c>
      <c r="HS17" s="166">
        <v>1350</v>
      </c>
      <c r="HT17" s="166">
        <f>FY26_FE_Data_April15[[#This Row],[Oct 1, 2026 (CDC) - K]]+FY26_FE_Data_April15[[#This Row],[Oct 1, 2026 (CDC) - Grades 1-6]]+FY26_FE_Data_April15[[#This Row],[Oct 1, 2026 (CDC) - Grades 7-8]]</f>
        <v>85</v>
      </c>
      <c r="HU17" s="166">
        <v>0</v>
      </c>
    </row>
    <row r="18" spans="1:229" ht="26">
      <c r="A18" s="158">
        <v>17</v>
      </c>
      <c r="B18" s="159" t="s">
        <v>315</v>
      </c>
      <c r="C18" s="160" t="s">
        <v>316</v>
      </c>
      <c r="D18" s="160" t="s">
        <v>87</v>
      </c>
      <c r="E18" s="159" t="s">
        <v>784</v>
      </c>
      <c r="F18" s="159" t="s">
        <v>784</v>
      </c>
      <c r="G18" s="159"/>
      <c r="H18" s="161">
        <v>413.47222222222223</v>
      </c>
      <c r="I18" s="161">
        <v>33.527777777777779</v>
      </c>
      <c r="J18" s="161">
        <v>447</v>
      </c>
      <c r="K18" s="162">
        <v>222</v>
      </c>
      <c r="L18" s="162">
        <v>1428</v>
      </c>
      <c r="M18" s="162">
        <v>497</v>
      </c>
      <c r="N18" s="162">
        <v>973</v>
      </c>
      <c r="O18" s="162">
        <v>3120</v>
      </c>
      <c r="P18" s="162">
        <v>2898</v>
      </c>
      <c r="Q18" s="162">
        <v>2147</v>
      </c>
      <c r="R18" s="162">
        <v>36</v>
      </c>
      <c r="S18" s="160">
        <v>223.07777777777778</v>
      </c>
      <c r="T18" s="160">
        <v>245.72777777777779</v>
      </c>
      <c r="U18" s="160">
        <v>225.03333333333333</v>
      </c>
      <c r="V18" s="160">
        <v>241.57777777777778</v>
      </c>
      <c r="W18" s="160">
        <v>237.9388888888889</v>
      </c>
      <c r="X18" s="160">
        <v>226.57777777777778</v>
      </c>
      <c r="Y18" s="160">
        <v>226.60555555555555</v>
      </c>
      <c r="Z18" s="160">
        <v>231.8111111111111</v>
      </c>
      <c r="AA18" s="160">
        <v>253.35555555555555</v>
      </c>
      <c r="AB18" s="160">
        <v>272.2</v>
      </c>
      <c r="AC18" s="160">
        <v>220.37777777777777</v>
      </c>
      <c r="AD18" s="160">
        <v>245.28333333333333</v>
      </c>
      <c r="AE18" s="160">
        <v>210.07222222222222</v>
      </c>
      <c r="AF18" s="160">
        <v>1403.4611111111112</v>
      </c>
      <c r="AG18" s="160">
        <v>485.16666666666663</v>
      </c>
      <c r="AH18" s="160">
        <v>947.93333333333328</v>
      </c>
      <c r="AI18" s="160">
        <v>2111.7055555555557</v>
      </c>
      <c r="AJ18" s="160">
        <v>2836.5611111111111</v>
      </c>
      <c r="AK18" s="160">
        <v>3059.6388888888887</v>
      </c>
      <c r="AL18" s="161">
        <v>441.50555555555553</v>
      </c>
      <c r="AM18" s="161">
        <v>37.56111111111111</v>
      </c>
      <c r="AN18" s="161">
        <v>479.06666666666666</v>
      </c>
      <c r="AO18" s="161">
        <v>3097.2</v>
      </c>
      <c r="AP18" s="162">
        <v>212</v>
      </c>
      <c r="AQ18" s="168">
        <v>229</v>
      </c>
      <c r="AR18" s="160">
        <v>246</v>
      </c>
      <c r="AS18" s="160">
        <v>228</v>
      </c>
      <c r="AT18" s="160">
        <v>247</v>
      </c>
      <c r="AU18" s="160">
        <v>242</v>
      </c>
      <c r="AV18" s="160">
        <v>232</v>
      </c>
      <c r="AW18" s="160">
        <v>228</v>
      </c>
      <c r="AX18" s="160">
        <v>230</v>
      </c>
      <c r="AY18" s="160">
        <v>266</v>
      </c>
      <c r="AZ18" s="160">
        <v>282</v>
      </c>
      <c r="BA18" s="160">
        <v>221</v>
      </c>
      <c r="BB18" s="160">
        <v>246</v>
      </c>
      <c r="BC18" s="160">
        <v>1424</v>
      </c>
      <c r="BD18" s="160">
        <v>458</v>
      </c>
      <c r="BE18" s="160">
        <v>1015</v>
      </c>
      <c r="BF18" s="160">
        <v>2094</v>
      </c>
      <c r="BG18" s="160">
        <v>2897</v>
      </c>
      <c r="BH18" s="160">
        <v>3109</v>
      </c>
      <c r="BI18" s="160">
        <v>203</v>
      </c>
      <c r="BJ18" s="160">
        <v>9</v>
      </c>
      <c r="BK18" s="160">
        <v>0</v>
      </c>
      <c r="BL18" s="160">
        <v>1439</v>
      </c>
      <c r="BM18" s="160">
        <v>454</v>
      </c>
      <c r="BN18" s="162">
        <v>37</v>
      </c>
      <c r="BO18" s="162">
        <v>491</v>
      </c>
      <c r="BP18" s="162">
        <v>228</v>
      </c>
      <c r="BQ18" s="163">
        <v>8.766580727629214E-2</v>
      </c>
      <c r="BR18" s="164">
        <v>188.232</v>
      </c>
      <c r="BS18" s="164">
        <v>178.24200000000002</v>
      </c>
      <c r="BT18" s="164">
        <v>172.31799999999998</v>
      </c>
      <c r="BU18" s="164">
        <v>189.51199999999997</v>
      </c>
      <c r="BV18" s="165">
        <v>0</v>
      </c>
      <c r="BW18" s="165">
        <v>0</v>
      </c>
      <c r="BX18" s="166">
        <v>0</v>
      </c>
      <c r="BY18" s="166">
        <v>4</v>
      </c>
      <c r="BZ18" s="166">
        <v>211.088888</v>
      </c>
      <c r="CA18" s="166">
        <v>215.0888888888889</v>
      </c>
      <c r="CB18" s="166">
        <v>228.01666666666668</v>
      </c>
      <c r="CC18" s="166">
        <v>245.04444444444445</v>
      </c>
      <c r="CD18" s="166">
        <v>227.98888888888888</v>
      </c>
      <c r="CE18" s="166">
        <v>246.01111111111112</v>
      </c>
      <c r="CF18" s="166">
        <v>242.40555555555557</v>
      </c>
      <c r="CG18" s="166">
        <v>230.14444444444445</v>
      </c>
      <c r="CH18" s="166">
        <v>226.47777777777779</v>
      </c>
      <c r="CI18" s="166">
        <v>230.35</v>
      </c>
      <c r="CJ18" s="166">
        <v>258.92777777777781</v>
      </c>
      <c r="CK18" s="166">
        <v>272.09444444444443</v>
      </c>
      <c r="CL18" s="166">
        <v>216.02777777777777</v>
      </c>
      <c r="CM18" s="166">
        <v>222.01111111111112</v>
      </c>
      <c r="CN18" s="166">
        <v>1419.6111111111111</v>
      </c>
      <c r="CO18" s="166">
        <v>456.82777777777778</v>
      </c>
      <c r="CP18" s="166">
        <v>969.06111111111113</v>
      </c>
      <c r="CQ18" s="166">
        <v>2091.5277777777778</v>
      </c>
      <c r="CR18" s="166">
        <v>2845.5</v>
      </c>
      <c r="CS18" s="166">
        <v>3060.588888888889</v>
      </c>
      <c r="CT18" s="166">
        <v>457.91111111111098</v>
      </c>
      <c r="CU18" s="166">
        <v>35.616666666666703</v>
      </c>
      <c r="CV18" s="166">
        <v>493.52777777777771</v>
      </c>
      <c r="CW18" s="166">
        <v>3096.2055555555557</v>
      </c>
      <c r="CX18" s="166">
        <v>0</v>
      </c>
      <c r="CY18" s="166">
        <v>182</v>
      </c>
      <c r="CZ18" s="165">
        <v>7</v>
      </c>
      <c r="DA18" s="165">
        <v>189</v>
      </c>
      <c r="DB18" s="165">
        <v>217</v>
      </c>
      <c r="DC18" s="165">
        <v>234</v>
      </c>
      <c r="DD18" s="165">
        <v>244</v>
      </c>
      <c r="DE18" s="165">
        <v>230</v>
      </c>
      <c r="DF18" s="165">
        <v>247</v>
      </c>
      <c r="DG18" s="165">
        <v>246</v>
      </c>
      <c r="DH18" s="165">
        <v>235</v>
      </c>
      <c r="DI18" s="165">
        <v>240</v>
      </c>
      <c r="DJ18" s="165">
        <v>237</v>
      </c>
      <c r="DK18" s="165">
        <v>257</v>
      </c>
      <c r="DL18" s="165">
        <v>277</v>
      </c>
      <c r="DM18" s="165">
        <v>211</v>
      </c>
      <c r="DN18" s="165">
        <v>1418</v>
      </c>
      <c r="DO18" s="165">
        <v>475</v>
      </c>
      <c r="DP18" s="165">
        <v>982</v>
      </c>
      <c r="DQ18" s="165">
        <v>2082</v>
      </c>
      <c r="DR18" s="165">
        <v>2875</v>
      </c>
      <c r="DS18" s="165">
        <v>3064</v>
      </c>
      <c r="DT18" s="165">
        <v>0</v>
      </c>
      <c r="DU18" s="165">
        <v>1301</v>
      </c>
      <c r="DV18" s="165">
        <v>444</v>
      </c>
      <c r="DW18" s="165">
        <v>35</v>
      </c>
      <c r="DX18" s="165">
        <v>479</v>
      </c>
      <c r="DY18" s="165">
        <v>3099</v>
      </c>
      <c r="DZ18" s="165">
        <v>220</v>
      </c>
      <c r="EA18" s="166">
        <v>189.83700000000002</v>
      </c>
      <c r="EB18" s="166">
        <v>179.89699999999999</v>
      </c>
      <c r="EC18" s="166">
        <v>87.44</v>
      </c>
      <c r="ED18" s="166">
        <v>73.152000000000044</v>
      </c>
      <c r="EE18" s="166">
        <v>0</v>
      </c>
      <c r="EF18" s="166">
        <v>194.67699999999999</v>
      </c>
      <c r="EG18" s="167">
        <v>8.8130486047425849E-2</v>
      </c>
      <c r="EH18" s="165"/>
      <c r="EI18" s="165">
        <v>189</v>
      </c>
      <c r="EJ18" s="165">
        <v>2882</v>
      </c>
      <c r="EK18" s="165"/>
      <c r="EL18" s="165"/>
      <c r="EM18" s="166"/>
      <c r="EN18" s="165">
        <v>3071</v>
      </c>
      <c r="EO18" s="165">
        <v>48</v>
      </c>
      <c r="EP18" s="165">
        <v>482</v>
      </c>
      <c r="EQ18" s="165">
        <v>530</v>
      </c>
      <c r="ER18" s="165">
        <v>447</v>
      </c>
      <c r="ES18" s="165">
        <v>35</v>
      </c>
      <c r="ET18" s="165">
        <v>180</v>
      </c>
      <c r="EU18" s="166">
        <v>92.07</v>
      </c>
      <c r="EV18" s="166">
        <v>5.59</v>
      </c>
      <c r="EW18" s="166">
        <v>11.22</v>
      </c>
      <c r="EX18" s="166">
        <v>11.5</v>
      </c>
      <c r="EY18" s="166">
        <v>74.56</v>
      </c>
      <c r="EZ18" s="166">
        <v>194.94</v>
      </c>
      <c r="FA18" s="166">
        <v>5.9555555555555557</v>
      </c>
      <c r="FB18" s="166">
        <v>182.22222222222223</v>
      </c>
      <c r="FC18" s="166">
        <v>188.17777777777778</v>
      </c>
      <c r="FD18" s="166">
        <v>213.86666666666667</v>
      </c>
      <c r="FE18" s="166">
        <v>230.35555555555555</v>
      </c>
      <c r="FF18" s="166">
        <v>239.24444444444444</v>
      </c>
      <c r="FG18" s="166">
        <v>226.41666666666666</v>
      </c>
      <c r="FH18" s="166">
        <v>242.62222222222223</v>
      </c>
      <c r="FI18" s="166">
        <v>243.32222222222222</v>
      </c>
      <c r="FJ18" s="166">
        <v>224.51111111111112</v>
      </c>
      <c r="FK18" s="166">
        <v>235.63888888888889</v>
      </c>
      <c r="FL18" s="166">
        <v>231.37777777777777</v>
      </c>
      <c r="FM18" s="166">
        <v>246.42777777777778</v>
      </c>
      <c r="FN18" s="166">
        <v>268.36666666666667</v>
      </c>
      <c r="FO18" s="166">
        <v>190.3388888888889</v>
      </c>
      <c r="FP18" s="166">
        <v>1395.8277777777778</v>
      </c>
      <c r="FQ18" s="166">
        <v>460.15</v>
      </c>
      <c r="FR18" s="166">
        <v>936.51111111111118</v>
      </c>
      <c r="FS18" s="166">
        <v>2044.1555555555558</v>
      </c>
      <c r="FT18" s="166">
        <v>2792.4888888888895</v>
      </c>
      <c r="FU18" s="166">
        <v>2980.6666666666674</v>
      </c>
      <c r="FV18" s="166">
        <v>439.18888888888887</v>
      </c>
      <c r="FW18" s="166">
        <v>35.31111111111111</v>
      </c>
      <c r="FX18" s="166">
        <v>474.5</v>
      </c>
      <c r="FY18" s="166">
        <v>3015.9777777777786</v>
      </c>
      <c r="FZ18" s="165">
        <v>7</v>
      </c>
      <c r="GA18" s="165">
        <v>197</v>
      </c>
      <c r="GB18" s="165">
        <v>204</v>
      </c>
      <c r="GC18" s="165">
        <v>188</v>
      </c>
      <c r="GD18" s="165">
        <v>215</v>
      </c>
      <c r="GE18" s="165">
        <v>228</v>
      </c>
      <c r="GF18" s="165">
        <v>249</v>
      </c>
      <c r="GG18" s="165">
        <v>235</v>
      </c>
      <c r="GH18" s="165">
        <v>242</v>
      </c>
      <c r="GI18" s="165">
        <v>245</v>
      </c>
      <c r="GJ18" s="165">
        <v>228</v>
      </c>
      <c r="GK18" s="165">
        <v>238</v>
      </c>
      <c r="GL18" s="165">
        <v>229</v>
      </c>
      <c r="GM18" s="165">
        <v>241</v>
      </c>
      <c r="GN18" s="165">
        <v>255</v>
      </c>
      <c r="GO18" s="165">
        <v>1357</v>
      </c>
      <c r="GP18" s="165">
        <v>473</v>
      </c>
      <c r="GQ18" s="165">
        <v>963</v>
      </c>
      <c r="GR18" s="165">
        <v>2034</v>
      </c>
      <c r="GS18" s="165">
        <v>2793</v>
      </c>
      <c r="GT18" s="165">
        <v>2997</v>
      </c>
      <c r="GU18" s="165">
        <v>0</v>
      </c>
      <c r="GV18" s="165">
        <v>1241</v>
      </c>
      <c r="GW18" s="165">
        <v>425</v>
      </c>
      <c r="GX18" s="165">
        <v>43</v>
      </c>
      <c r="GY18" s="165">
        <v>468</v>
      </c>
      <c r="GZ18" s="165">
        <v>3040</v>
      </c>
      <c r="HA18" s="165">
        <v>222</v>
      </c>
      <c r="HB18" s="166">
        <v>191.41</v>
      </c>
      <c r="HC18" s="166">
        <v>181.47000000000003</v>
      </c>
      <c r="HD18" s="166">
        <v>86.34</v>
      </c>
      <c r="HE18" s="166">
        <v>77.999000000000024</v>
      </c>
      <c r="HF18" s="166"/>
      <c r="HG18" s="166">
        <v>196.75</v>
      </c>
      <c r="HH18" s="166">
        <v>52</v>
      </c>
      <c r="HI18" s="166">
        <v>483</v>
      </c>
      <c r="HJ18" s="166">
        <v>535</v>
      </c>
      <c r="HK18" s="166">
        <v>436</v>
      </c>
      <c r="HL18" s="166">
        <v>47</v>
      </c>
      <c r="HM18" s="166">
        <v>188</v>
      </c>
      <c r="HN18" s="166">
        <v>201</v>
      </c>
      <c r="HO18" s="166">
        <v>2749</v>
      </c>
      <c r="HP18" s="166">
        <v>0</v>
      </c>
      <c r="HQ18" s="166">
        <v>0</v>
      </c>
      <c r="HR18" s="166">
        <v>0</v>
      </c>
      <c r="HS18" s="166">
        <v>2950</v>
      </c>
      <c r="HT18" s="166">
        <f>FY26_FE_Data_April15[[#This Row],[Oct 1, 2026 (CDC) - K]]+FY26_FE_Data_April15[[#This Row],[Oct 1, 2026 (CDC) - Grades 1-6]]+FY26_FE_Data_April15[[#This Row],[Oct 1, 2026 (CDC) - Grades 7-8]]</f>
        <v>201</v>
      </c>
      <c r="HU18" s="166">
        <v>0</v>
      </c>
    </row>
    <row r="19" spans="1:229" ht="26">
      <c r="A19" s="158">
        <v>18</v>
      </c>
      <c r="B19" s="159" t="s">
        <v>317</v>
      </c>
      <c r="C19" s="160" t="s">
        <v>318</v>
      </c>
      <c r="D19" s="160" t="s">
        <v>87</v>
      </c>
      <c r="E19" s="159" t="s">
        <v>784</v>
      </c>
      <c r="F19" s="159" t="s">
        <v>784</v>
      </c>
      <c r="G19" s="159"/>
      <c r="H19" s="161">
        <v>328.44444444444446</v>
      </c>
      <c r="I19" s="161">
        <v>27.216666666666665</v>
      </c>
      <c r="J19" s="161">
        <v>355.6611111111111</v>
      </c>
      <c r="K19" s="162">
        <v>167</v>
      </c>
      <c r="L19" s="162">
        <v>1414</v>
      </c>
      <c r="M19" s="162">
        <v>561</v>
      </c>
      <c r="N19" s="162">
        <v>1148</v>
      </c>
      <c r="O19" s="162">
        <v>3290</v>
      </c>
      <c r="P19" s="162">
        <v>3123</v>
      </c>
      <c r="Q19" s="162">
        <v>2142</v>
      </c>
      <c r="R19" s="162">
        <v>27</v>
      </c>
      <c r="S19" s="160">
        <v>169</v>
      </c>
      <c r="T19" s="160">
        <v>212.91666666666666</v>
      </c>
      <c r="U19" s="160">
        <v>225.1</v>
      </c>
      <c r="V19" s="160">
        <v>209.85555555555555</v>
      </c>
      <c r="W19" s="160">
        <v>251.07777777777778</v>
      </c>
      <c r="X19" s="160">
        <v>242.61111111111111</v>
      </c>
      <c r="Y19" s="160">
        <v>260.58333333333331</v>
      </c>
      <c r="Z19" s="160">
        <v>260.07222222222219</v>
      </c>
      <c r="AA19" s="160">
        <v>291.09444444444443</v>
      </c>
      <c r="AB19" s="160">
        <v>278.05555555555554</v>
      </c>
      <c r="AC19" s="160">
        <v>299.52222222222224</v>
      </c>
      <c r="AD19" s="160">
        <v>275.76666666666665</v>
      </c>
      <c r="AE19" s="160">
        <v>270.05555555555554</v>
      </c>
      <c r="AF19" s="160">
        <v>1402.1444444444444</v>
      </c>
      <c r="AG19" s="160">
        <v>551.16666666666663</v>
      </c>
      <c r="AH19" s="160">
        <v>1123.4000000000001</v>
      </c>
      <c r="AI19" s="160">
        <v>2122.3111111111111</v>
      </c>
      <c r="AJ19" s="160">
        <v>3076.7111111111117</v>
      </c>
      <c r="AK19" s="160">
        <v>3245.7111111111117</v>
      </c>
      <c r="AL19" s="161">
        <v>336.43888888888887</v>
      </c>
      <c r="AM19" s="161">
        <v>31.016666666666666</v>
      </c>
      <c r="AN19" s="161">
        <v>367.45555555555552</v>
      </c>
      <c r="AO19" s="161">
        <v>3276.7277777777786</v>
      </c>
      <c r="AP19" s="162">
        <v>195</v>
      </c>
      <c r="AQ19" s="168">
        <v>169</v>
      </c>
      <c r="AR19" s="160">
        <v>212</v>
      </c>
      <c r="AS19" s="160">
        <v>228</v>
      </c>
      <c r="AT19" s="160">
        <v>211</v>
      </c>
      <c r="AU19" s="160">
        <v>255</v>
      </c>
      <c r="AV19" s="160">
        <v>240</v>
      </c>
      <c r="AW19" s="160">
        <v>261</v>
      </c>
      <c r="AX19" s="160">
        <v>263</v>
      </c>
      <c r="AY19" s="160">
        <v>301</v>
      </c>
      <c r="AZ19" s="160">
        <v>278</v>
      </c>
      <c r="BA19" s="160">
        <v>303</v>
      </c>
      <c r="BB19" s="160">
        <v>265</v>
      </c>
      <c r="BC19" s="160">
        <v>1315</v>
      </c>
      <c r="BD19" s="160">
        <v>524</v>
      </c>
      <c r="BE19" s="160">
        <v>1147</v>
      </c>
      <c r="BF19" s="160">
        <v>2034</v>
      </c>
      <c r="BG19" s="160">
        <v>2986</v>
      </c>
      <c r="BH19" s="160">
        <v>3181</v>
      </c>
      <c r="BI19" s="160">
        <v>188</v>
      </c>
      <c r="BJ19" s="160">
        <v>7</v>
      </c>
      <c r="BK19" s="160">
        <v>0</v>
      </c>
      <c r="BL19" s="160">
        <v>325</v>
      </c>
      <c r="BM19" s="160">
        <v>332</v>
      </c>
      <c r="BN19" s="162">
        <v>32</v>
      </c>
      <c r="BO19" s="162">
        <v>364</v>
      </c>
      <c r="BP19" s="162">
        <v>0</v>
      </c>
      <c r="BQ19" s="163">
        <v>8.3458194345709891E-2</v>
      </c>
      <c r="BR19" s="164">
        <v>196.64</v>
      </c>
      <c r="BS19" s="164">
        <v>187.64</v>
      </c>
      <c r="BT19" s="164">
        <v>182.56</v>
      </c>
      <c r="BU19" s="164">
        <v>195.15999999999988</v>
      </c>
      <c r="BV19" s="165">
        <v>0</v>
      </c>
      <c r="BW19" s="165">
        <v>0</v>
      </c>
      <c r="BX19" s="166">
        <v>47.016666000000001</v>
      </c>
      <c r="BY19" s="166">
        <v>8.3611109999999993</v>
      </c>
      <c r="BZ19" s="166">
        <v>184.23333299999999</v>
      </c>
      <c r="CA19" s="166">
        <v>192.59444444444443</v>
      </c>
      <c r="CB19" s="166">
        <v>164.83333333333334</v>
      </c>
      <c r="CC19" s="166">
        <v>211.48888888888888</v>
      </c>
      <c r="CD19" s="166">
        <v>224.51666666666668</v>
      </c>
      <c r="CE19" s="166">
        <v>210.60555555555555</v>
      </c>
      <c r="CF19" s="166">
        <v>250.9111111111111</v>
      </c>
      <c r="CG19" s="166">
        <v>239.92777777777778</v>
      </c>
      <c r="CH19" s="166">
        <v>260.48333333333335</v>
      </c>
      <c r="CI19" s="166">
        <v>259.53888888888889</v>
      </c>
      <c r="CJ19" s="166">
        <v>295.21111111111111</v>
      </c>
      <c r="CK19" s="166">
        <v>273.56666666666666</v>
      </c>
      <c r="CL19" s="166">
        <v>301.06111111111113</v>
      </c>
      <c r="CM19" s="166">
        <v>262.70555555555558</v>
      </c>
      <c r="CN19" s="166">
        <v>1302.2833333333331</v>
      </c>
      <c r="CO19" s="166">
        <v>520.02222222222224</v>
      </c>
      <c r="CP19" s="166">
        <v>1132.5444444444445</v>
      </c>
      <c r="CQ19" s="166">
        <v>2014.9</v>
      </c>
      <c r="CR19" s="166">
        <v>2954.85</v>
      </c>
      <c r="CS19" s="166">
        <v>3147.4444444444448</v>
      </c>
      <c r="CT19" s="166">
        <v>323.14999999999998</v>
      </c>
      <c r="CU19" s="166">
        <v>36.044444444444402</v>
      </c>
      <c r="CV19" s="166">
        <v>359.1944444444444</v>
      </c>
      <c r="CW19" s="166">
        <v>3183.4888888888891</v>
      </c>
      <c r="CX19" s="166">
        <v>0</v>
      </c>
      <c r="CY19" s="166">
        <v>171</v>
      </c>
      <c r="CZ19" s="165">
        <v>0</v>
      </c>
      <c r="DA19" s="165">
        <v>171</v>
      </c>
      <c r="DB19" s="165">
        <v>195</v>
      </c>
      <c r="DC19" s="165">
        <v>166</v>
      </c>
      <c r="DD19" s="165">
        <v>219</v>
      </c>
      <c r="DE19" s="165">
        <v>229</v>
      </c>
      <c r="DF19" s="165">
        <v>221</v>
      </c>
      <c r="DG19" s="165">
        <v>259</v>
      </c>
      <c r="DH19" s="165">
        <v>246</v>
      </c>
      <c r="DI19" s="165">
        <v>264</v>
      </c>
      <c r="DJ19" s="165">
        <v>277</v>
      </c>
      <c r="DK19" s="165">
        <v>290</v>
      </c>
      <c r="DL19" s="165">
        <v>279</v>
      </c>
      <c r="DM19" s="165">
        <v>294</v>
      </c>
      <c r="DN19" s="165">
        <v>1289</v>
      </c>
      <c r="DO19" s="165">
        <v>510</v>
      </c>
      <c r="DP19" s="165">
        <v>1140</v>
      </c>
      <c r="DQ19" s="165">
        <v>1970</v>
      </c>
      <c r="DR19" s="165">
        <v>2939</v>
      </c>
      <c r="DS19" s="165">
        <v>3110</v>
      </c>
      <c r="DT19" s="165">
        <v>0</v>
      </c>
      <c r="DU19" s="165">
        <v>243</v>
      </c>
      <c r="DV19" s="165">
        <v>317</v>
      </c>
      <c r="DW19" s="165">
        <v>28</v>
      </c>
      <c r="DX19" s="165">
        <v>345</v>
      </c>
      <c r="DY19" s="165">
        <v>3138</v>
      </c>
      <c r="DZ19" s="165">
        <v>0</v>
      </c>
      <c r="EA19" s="166">
        <v>193.47500000000002</v>
      </c>
      <c r="EB19" s="166">
        <v>184.47500000000002</v>
      </c>
      <c r="EC19" s="166">
        <v>87.39500000000001</v>
      </c>
      <c r="ED19" s="166">
        <v>75.335000000000008</v>
      </c>
      <c r="EE19" s="166">
        <v>0.8</v>
      </c>
      <c r="EF19" s="166">
        <v>198.52500000000001</v>
      </c>
      <c r="EG19" s="167">
        <v>8.5938132591093008E-2</v>
      </c>
      <c r="EH19" s="165"/>
      <c r="EI19" s="165">
        <v>166</v>
      </c>
      <c r="EJ19" s="165">
        <v>2851</v>
      </c>
      <c r="EK19" s="165"/>
      <c r="EL19" s="165"/>
      <c r="EM19" s="166"/>
      <c r="EN19" s="165">
        <v>3017</v>
      </c>
      <c r="EO19" s="165">
        <v>42</v>
      </c>
      <c r="EP19" s="165">
        <v>338</v>
      </c>
      <c r="EQ19" s="165">
        <v>380</v>
      </c>
      <c r="ER19" s="165">
        <v>312</v>
      </c>
      <c r="ES19" s="165">
        <v>26</v>
      </c>
      <c r="ET19" s="165">
        <v>95</v>
      </c>
      <c r="EU19" s="166">
        <v>51.55</v>
      </c>
      <c r="EV19" s="166">
        <v>4.16</v>
      </c>
      <c r="EW19" s="166">
        <v>14.86</v>
      </c>
      <c r="EX19" s="166">
        <v>1.48</v>
      </c>
      <c r="EY19" s="166">
        <v>53.58</v>
      </c>
      <c r="EZ19" s="166">
        <v>125.63</v>
      </c>
      <c r="FA19" s="166">
        <v>7.6388888888888893</v>
      </c>
      <c r="FB19" s="166">
        <v>162.04444444444445</v>
      </c>
      <c r="FC19" s="166">
        <v>169.68333333333334</v>
      </c>
      <c r="FD19" s="166">
        <v>193.92222222222222</v>
      </c>
      <c r="FE19" s="166">
        <v>168.08333333333334</v>
      </c>
      <c r="FF19" s="166">
        <v>222.48888888888888</v>
      </c>
      <c r="FG19" s="166">
        <v>226.3388888888889</v>
      </c>
      <c r="FH19" s="166">
        <v>217.48888888888888</v>
      </c>
      <c r="FI19" s="166">
        <v>253.98333333333332</v>
      </c>
      <c r="FJ19" s="166">
        <v>243.1888888888889</v>
      </c>
      <c r="FK19" s="166">
        <v>265.97222222222223</v>
      </c>
      <c r="FL19" s="166">
        <v>276.24444444444447</v>
      </c>
      <c r="FM19" s="166">
        <v>284.90555555555557</v>
      </c>
      <c r="FN19" s="166">
        <v>277.26666666666665</v>
      </c>
      <c r="FO19" s="166">
        <v>282.74444444444447</v>
      </c>
      <c r="FP19" s="166">
        <v>1282.3055555555557</v>
      </c>
      <c r="FQ19" s="166">
        <v>509.16111111111115</v>
      </c>
      <c r="FR19" s="166">
        <v>1121.1611111111113</v>
      </c>
      <c r="FS19" s="166">
        <v>1961.1499999999999</v>
      </c>
      <c r="FT19" s="166">
        <v>2912.6277777777777</v>
      </c>
      <c r="FU19" s="166">
        <v>3082.3111111111111</v>
      </c>
      <c r="FV19" s="166">
        <v>307.51111111111112</v>
      </c>
      <c r="FW19" s="166">
        <v>27.06111111111111</v>
      </c>
      <c r="FX19" s="166">
        <v>334.57222222222225</v>
      </c>
      <c r="FY19" s="166">
        <v>3109.3722222222223</v>
      </c>
      <c r="FZ19" s="165">
        <v>6</v>
      </c>
      <c r="GA19" s="165">
        <v>151</v>
      </c>
      <c r="GB19" s="165">
        <v>157</v>
      </c>
      <c r="GC19" s="165">
        <v>172</v>
      </c>
      <c r="GD19" s="165">
        <v>198</v>
      </c>
      <c r="GE19" s="165">
        <v>176</v>
      </c>
      <c r="GF19" s="165">
        <v>230</v>
      </c>
      <c r="GG19" s="165">
        <v>233</v>
      </c>
      <c r="GH19" s="165">
        <v>220</v>
      </c>
      <c r="GI19" s="165">
        <v>257</v>
      </c>
      <c r="GJ19" s="165">
        <v>249</v>
      </c>
      <c r="GK19" s="165">
        <v>288</v>
      </c>
      <c r="GL19" s="165">
        <v>284</v>
      </c>
      <c r="GM19" s="165">
        <v>286</v>
      </c>
      <c r="GN19" s="165">
        <v>271</v>
      </c>
      <c r="GO19" s="165">
        <v>1229</v>
      </c>
      <c r="GP19" s="165">
        <v>506</v>
      </c>
      <c r="GQ19" s="165">
        <v>1129</v>
      </c>
      <c r="GR19" s="165">
        <v>1892</v>
      </c>
      <c r="GS19" s="165">
        <v>2864</v>
      </c>
      <c r="GT19" s="165">
        <v>3021</v>
      </c>
      <c r="GU19" s="165">
        <v>0</v>
      </c>
      <c r="GV19" s="165">
        <v>234</v>
      </c>
      <c r="GW19" s="165">
        <v>311</v>
      </c>
      <c r="GX19" s="165">
        <v>33</v>
      </c>
      <c r="GY19" s="165">
        <v>344</v>
      </c>
      <c r="GZ19" s="165">
        <v>3054</v>
      </c>
      <c r="HA19" s="165">
        <v>0</v>
      </c>
      <c r="HB19" s="166">
        <v>187</v>
      </c>
      <c r="HC19" s="166">
        <v>177</v>
      </c>
      <c r="HD19" s="166">
        <v>80.809000000000012</v>
      </c>
      <c r="HE19" s="166">
        <v>75.120999999999981</v>
      </c>
      <c r="HF19" s="166"/>
      <c r="HG19" s="166">
        <v>189.69</v>
      </c>
      <c r="HH19" s="166">
        <v>38</v>
      </c>
      <c r="HI19" s="166">
        <v>327</v>
      </c>
      <c r="HJ19" s="166">
        <v>365</v>
      </c>
      <c r="HK19" s="166">
        <v>294</v>
      </c>
      <c r="HL19" s="166">
        <v>33</v>
      </c>
      <c r="HM19" s="166">
        <v>70</v>
      </c>
      <c r="HN19" s="166">
        <v>149</v>
      </c>
      <c r="HO19" s="166">
        <v>2726</v>
      </c>
      <c r="HP19" s="166">
        <v>0</v>
      </c>
      <c r="HQ19" s="166">
        <v>0</v>
      </c>
      <c r="HR19" s="166">
        <v>0</v>
      </c>
      <c r="HS19" s="166">
        <v>2875</v>
      </c>
      <c r="HT19" s="166">
        <f>FY26_FE_Data_April15[[#This Row],[Oct 1, 2026 (CDC) - K]]+FY26_FE_Data_April15[[#This Row],[Oct 1, 2026 (CDC) - Grades 1-6]]+FY26_FE_Data_April15[[#This Row],[Oct 1, 2026 (CDC) - Grades 7-8]]</f>
        <v>149</v>
      </c>
      <c r="HU19" s="166">
        <v>0</v>
      </c>
    </row>
    <row r="20" spans="1:229" ht="26">
      <c r="A20" s="158">
        <v>19</v>
      </c>
      <c r="B20" s="159" t="s">
        <v>319</v>
      </c>
      <c r="C20" s="160" t="s">
        <v>320</v>
      </c>
      <c r="D20" s="160" t="s">
        <v>87</v>
      </c>
      <c r="E20" s="159" t="s">
        <v>784</v>
      </c>
      <c r="F20" s="159" t="s">
        <v>784</v>
      </c>
      <c r="G20" s="159"/>
      <c r="H20" s="161">
        <v>3635.838888888889</v>
      </c>
      <c r="I20" s="161">
        <v>823.62222222222226</v>
      </c>
      <c r="J20" s="161">
        <v>4459.4611111111117</v>
      </c>
      <c r="K20" s="162">
        <v>2561</v>
      </c>
      <c r="L20" s="162">
        <v>16322</v>
      </c>
      <c r="M20" s="162">
        <v>5638</v>
      </c>
      <c r="N20" s="162">
        <v>11708</v>
      </c>
      <c r="O20" s="162">
        <v>36229</v>
      </c>
      <c r="P20" s="162">
        <v>33668</v>
      </c>
      <c r="Q20" s="162">
        <v>24521</v>
      </c>
      <c r="R20" s="162">
        <v>838</v>
      </c>
      <c r="S20" s="160">
        <v>2499.3166666666666</v>
      </c>
      <c r="T20" s="160">
        <v>2628.5333333333333</v>
      </c>
      <c r="U20" s="160">
        <v>2667.2111111111112</v>
      </c>
      <c r="V20" s="160">
        <v>2646.6722222222224</v>
      </c>
      <c r="W20" s="160">
        <v>2669.65</v>
      </c>
      <c r="X20" s="160">
        <v>2671.05</v>
      </c>
      <c r="Y20" s="160">
        <v>2822.5222222222224</v>
      </c>
      <c r="Z20" s="160">
        <v>2700.9555555555557</v>
      </c>
      <c r="AA20" s="160">
        <v>2831.8722222222223</v>
      </c>
      <c r="AB20" s="160">
        <v>2926.8166666666666</v>
      </c>
      <c r="AC20" s="160">
        <v>2915.1555555555556</v>
      </c>
      <c r="AD20" s="160">
        <v>2754.35</v>
      </c>
      <c r="AE20" s="160">
        <v>2408.1055555555554</v>
      </c>
      <c r="AF20" s="160">
        <v>16105.638888888891</v>
      </c>
      <c r="AG20" s="160">
        <v>5532.8277777777785</v>
      </c>
      <c r="AH20" s="160">
        <v>11004.427777777779</v>
      </c>
      <c r="AI20" s="160">
        <v>24137.783333333333</v>
      </c>
      <c r="AJ20" s="160">
        <v>32642.894444444442</v>
      </c>
      <c r="AK20" s="160">
        <v>35142.211111111108</v>
      </c>
      <c r="AL20" s="161">
        <v>3827.9333333333334</v>
      </c>
      <c r="AM20" s="161">
        <v>836.05</v>
      </c>
      <c r="AN20" s="161">
        <v>4663.9833333333336</v>
      </c>
      <c r="AO20" s="161">
        <v>35978.261111111111</v>
      </c>
      <c r="AP20" s="162">
        <v>3114</v>
      </c>
      <c r="AQ20" s="168">
        <v>3279</v>
      </c>
      <c r="AR20" s="160">
        <v>3426</v>
      </c>
      <c r="AS20" s="160">
        <v>3450</v>
      </c>
      <c r="AT20" s="160">
        <v>3447</v>
      </c>
      <c r="AU20" s="160">
        <v>3411</v>
      </c>
      <c r="AV20" s="160">
        <v>3454</v>
      </c>
      <c r="AW20" s="160">
        <v>3536</v>
      </c>
      <c r="AX20" s="160">
        <v>3329</v>
      </c>
      <c r="AY20" s="160">
        <v>3376</v>
      </c>
      <c r="AZ20" s="160">
        <v>3413</v>
      </c>
      <c r="BA20" s="160">
        <v>3323</v>
      </c>
      <c r="BB20" s="160">
        <v>3114</v>
      </c>
      <c r="BC20" s="160">
        <v>20467</v>
      </c>
      <c r="BD20" s="160">
        <v>6865</v>
      </c>
      <c r="BE20" s="160">
        <v>13226</v>
      </c>
      <c r="BF20" s="160">
        <v>30446</v>
      </c>
      <c r="BG20" s="160">
        <v>40558</v>
      </c>
      <c r="BH20" s="160">
        <v>43672</v>
      </c>
      <c r="BI20" s="160">
        <v>1655</v>
      </c>
      <c r="BJ20" s="160">
        <v>1459</v>
      </c>
      <c r="BK20" s="160">
        <v>14</v>
      </c>
      <c r="BL20" s="160">
        <v>10187</v>
      </c>
      <c r="BM20" s="160">
        <v>4300</v>
      </c>
      <c r="BN20" s="162">
        <v>833</v>
      </c>
      <c r="BO20" s="162">
        <v>5133</v>
      </c>
      <c r="BP20" s="162">
        <v>1459</v>
      </c>
      <c r="BQ20" s="163">
        <v>8.8001981129798679E-2</v>
      </c>
      <c r="BR20" s="164">
        <v>2015.5030000000006</v>
      </c>
      <c r="BS20" s="164">
        <v>1946.5030000000006</v>
      </c>
      <c r="BT20" s="164">
        <v>1774.4265000000005</v>
      </c>
      <c r="BU20" s="164">
        <v>1957.2279999999996</v>
      </c>
      <c r="BV20" s="165">
        <v>0</v>
      </c>
      <c r="BW20" s="165">
        <v>6040</v>
      </c>
      <c r="BX20" s="166">
        <v>2271.638888</v>
      </c>
      <c r="BY20" s="166">
        <v>1479.277777</v>
      </c>
      <c r="BZ20" s="166">
        <v>1594.1777770000001</v>
      </c>
      <c r="CA20" s="166">
        <v>3073.4555555555557</v>
      </c>
      <c r="CB20" s="166">
        <v>3238.4666666666667</v>
      </c>
      <c r="CC20" s="166">
        <v>3363.8444444444444</v>
      </c>
      <c r="CD20" s="166">
        <v>3417.8166666666666</v>
      </c>
      <c r="CE20" s="166">
        <v>3417.2</v>
      </c>
      <c r="CF20" s="166">
        <v>3382.088888888889</v>
      </c>
      <c r="CG20" s="166">
        <v>3424.1222222222223</v>
      </c>
      <c r="CH20" s="166">
        <v>3483.2611111111109</v>
      </c>
      <c r="CI20" s="166">
        <v>3279.3777777777777</v>
      </c>
      <c r="CJ20" s="166">
        <v>3306.3611111111113</v>
      </c>
      <c r="CK20" s="166">
        <v>3312.0222222222224</v>
      </c>
      <c r="CL20" s="166">
        <v>3146.3777777777777</v>
      </c>
      <c r="CM20" s="166">
        <v>2727.1333333333332</v>
      </c>
      <c r="CN20" s="166">
        <v>20243.538888888885</v>
      </c>
      <c r="CO20" s="166">
        <v>6762.6388888888887</v>
      </c>
      <c r="CP20" s="166">
        <v>12491.894444444444</v>
      </c>
      <c r="CQ20" s="166">
        <v>30079.633333333331</v>
      </c>
      <c r="CR20" s="166">
        <v>39498.072222222218</v>
      </c>
      <c r="CS20" s="166">
        <v>42571.527777777774</v>
      </c>
      <c r="CT20" s="166">
        <v>4315.3611111111104</v>
      </c>
      <c r="CU20" s="166">
        <v>809.37222222222204</v>
      </c>
      <c r="CV20" s="166">
        <v>5124.7333333333327</v>
      </c>
      <c r="CW20" s="166">
        <v>43380.899999999994</v>
      </c>
      <c r="CX20" s="166">
        <v>8686.9611110000005</v>
      </c>
      <c r="CY20" s="166">
        <v>2573</v>
      </c>
      <c r="CZ20" s="165">
        <v>576</v>
      </c>
      <c r="DA20" s="165">
        <v>3149</v>
      </c>
      <c r="DB20" s="165">
        <v>3105</v>
      </c>
      <c r="DC20" s="165">
        <v>3240</v>
      </c>
      <c r="DD20" s="165">
        <v>3356</v>
      </c>
      <c r="DE20" s="165">
        <v>3402</v>
      </c>
      <c r="DF20" s="165">
        <v>3406</v>
      </c>
      <c r="DG20" s="165">
        <v>3341</v>
      </c>
      <c r="DH20" s="165">
        <v>3346</v>
      </c>
      <c r="DI20" s="165">
        <v>3491</v>
      </c>
      <c r="DJ20" s="165">
        <v>3229</v>
      </c>
      <c r="DK20" s="165">
        <v>3337</v>
      </c>
      <c r="DL20" s="165">
        <v>3341</v>
      </c>
      <c r="DM20" s="165">
        <v>3203</v>
      </c>
      <c r="DN20" s="165">
        <v>19850</v>
      </c>
      <c r="DO20" s="165">
        <v>6837</v>
      </c>
      <c r="DP20" s="165">
        <v>13110</v>
      </c>
      <c r="DQ20" s="165">
        <v>29836</v>
      </c>
      <c r="DR20" s="165">
        <v>39797</v>
      </c>
      <c r="DS20" s="165">
        <v>42946</v>
      </c>
      <c r="DT20" s="165">
        <v>11</v>
      </c>
      <c r="DU20" s="165">
        <v>9525</v>
      </c>
      <c r="DV20" s="165">
        <v>4394</v>
      </c>
      <c r="DW20" s="165">
        <v>836</v>
      </c>
      <c r="DX20" s="165">
        <v>5230</v>
      </c>
      <c r="DY20" s="165">
        <v>43782</v>
      </c>
      <c r="DZ20" s="165">
        <v>1728</v>
      </c>
      <c r="EA20" s="166">
        <v>2060.5079999999989</v>
      </c>
      <c r="EB20" s="166">
        <v>1987.8379999999993</v>
      </c>
      <c r="EC20" s="166">
        <v>824.64300000000014</v>
      </c>
      <c r="ED20" s="166">
        <v>746.51199999999983</v>
      </c>
      <c r="EE20" s="166">
        <v>5.4329999999999998</v>
      </c>
      <c r="EF20" s="166">
        <v>2086.0269999999991</v>
      </c>
      <c r="EG20" s="167">
        <v>8.8272501212234844E-2</v>
      </c>
      <c r="EH20" s="165"/>
      <c r="EI20" s="165">
        <v>3080</v>
      </c>
      <c r="EJ20" s="165">
        <v>38920</v>
      </c>
      <c r="EK20" s="165"/>
      <c r="EL20" s="165"/>
      <c r="EM20" s="166"/>
      <c r="EN20" s="165">
        <v>42000</v>
      </c>
      <c r="EO20" s="165">
        <v>552</v>
      </c>
      <c r="EP20" s="165">
        <v>5178</v>
      </c>
      <c r="EQ20" s="165">
        <v>5730</v>
      </c>
      <c r="ER20" s="165">
        <v>4354</v>
      </c>
      <c r="ES20" s="165">
        <v>824</v>
      </c>
      <c r="ET20" s="165">
        <v>230</v>
      </c>
      <c r="EU20" s="166">
        <v>529.35400000000004</v>
      </c>
      <c r="EV20" s="166">
        <v>19.242000000000001</v>
      </c>
      <c r="EW20" s="166">
        <v>166.40899999999999</v>
      </c>
      <c r="EX20" s="166">
        <v>82.32</v>
      </c>
      <c r="EY20" s="166">
        <v>567.91399999999999</v>
      </c>
      <c r="EZ20" s="166">
        <v>1365.239</v>
      </c>
      <c r="FA20" s="166">
        <v>538.91111111111115</v>
      </c>
      <c r="FB20" s="166">
        <v>2535.4388888888889</v>
      </c>
      <c r="FC20" s="166">
        <v>3074.35</v>
      </c>
      <c r="FD20" s="166">
        <v>3032.9833333333331</v>
      </c>
      <c r="FE20" s="166">
        <v>3159.6055555555554</v>
      </c>
      <c r="FF20" s="166">
        <v>3273.05</v>
      </c>
      <c r="FG20" s="166">
        <v>3345.0833333333335</v>
      </c>
      <c r="FH20" s="166">
        <v>3331.0722222222221</v>
      </c>
      <c r="FI20" s="166">
        <v>3291.1444444444446</v>
      </c>
      <c r="FJ20" s="166">
        <v>3274.8666666666668</v>
      </c>
      <c r="FK20" s="166">
        <v>3405.05</v>
      </c>
      <c r="FL20" s="166">
        <v>3136.4277777777779</v>
      </c>
      <c r="FM20" s="166">
        <v>3202.1388888888887</v>
      </c>
      <c r="FN20" s="166">
        <v>3133.7388888888891</v>
      </c>
      <c r="FO20" s="166">
        <v>2794.661111111111</v>
      </c>
      <c r="FP20" s="166">
        <v>19432.93888888889</v>
      </c>
      <c r="FQ20" s="166">
        <v>6679.916666666667</v>
      </c>
      <c r="FR20" s="166">
        <v>12266.966666666665</v>
      </c>
      <c r="FS20" s="166">
        <v>29187.20555555556</v>
      </c>
      <c r="FT20" s="166">
        <v>38379.822222222225</v>
      </c>
      <c r="FU20" s="166">
        <v>41454.172222222231</v>
      </c>
      <c r="FV20" s="166">
        <v>4367.1222222222223</v>
      </c>
      <c r="FW20" s="166">
        <v>822.95555555555552</v>
      </c>
      <c r="FX20" s="166">
        <v>5190.0777777777776</v>
      </c>
      <c r="FY20" s="166">
        <v>42277.127777777787</v>
      </c>
      <c r="FZ20" s="165">
        <v>518</v>
      </c>
      <c r="GA20" s="165">
        <v>2066</v>
      </c>
      <c r="GB20" s="165">
        <v>2584</v>
      </c>
      <c r="GC20" s="165">
        <v>3074</v>
      </c>
      <c r="GD20" s="165">
        <v>3086</v>
      </c>
      <c r="GE20" s="165">
        <v>3211</v>
      </c>
      <c r="GF20" s="165">
        <v>3270</v>
      </c>
      <c r="GG20" s="165">
        <v>3359</v>
      </c>
      <c r="GH20" s="165">
        <v>3294</v>
      </c>
      <c r="GI20" s="165">
        <v>3285</v>
      </c>
      <c r="GJ20" s="165">
        <v>3338</v>
      </c>
      <c r="GK20" s="165">
        <v>3420</v>
      </c>
      <c r="GL20" s="165">
        <v>3215</v>
      </c>
      <c r="GM20" s="165">
        <v>3274</v>
      </c>
      <c r="GN20" s="165">
        <v>3265</v>
      </c>
      <c r="GO20" s="165">
        <v>19294</v>
      </c>
      <c r="GP20" s="165">
        <v>6623</v>
      </c>
      <c r="GQ20" s="165">
        <v>13174</v>
      </c>
      <c r="GR20" s="165">
        <v>28501</v>
      </c>
      <c r="GS20" s="165">
        <v>39091</v>
      </c>
      <c r="GT20" s="165">
        <v>41675</v>
      </c>
      <c r="GU20" s="165">
        <v>14</v>
      </c>
      <c r="GV20" s="165">
        <v>8208</v>
      </c>
      <c r="GW20" s="165">
        <v>4426</v>
      </c>
      <c r="GX20" s="165">
        <v>804</v>
      </c>
      <c r="GY20" s="165">
        <v>5230</v>
      </c>
      <c r="GZ20" s="165">
        <v>42479</v>
      </c>
      <c r="HA20" s="165">
        <v>1765</v>
      </c>
      <c r="HB20" s="166">
        <v>2087.0159999999987</v>
      </c>
      <c r="HC20" s="166">
        <v>2015.0159999999992</v>
      </c>
      <c r="HD20" s="166">
        <v>850.85799999999995</v>
      </c>
      <c r="HE20" s="166">
        <v>755.75699999999983</v>
      </c>
      <c r="HF20" s="166"/>
      <c r="HG20" s="166">
        <v>2095.9780000000001</v>
      </c>
      <c r="HH20" s="166">
        <v>492</v>
      </c>
      <c r="HI20" s="166">
        <v>5169</v>
      </c>
      <c r="HJ20" s="166">
        <v>5661</v>
      </c>
      <c r="HK20" s="166">
        <v>4367</v>
      </c>
      <c r="HL20" s="166">
        <v>802</v>
      </c>
      <c r="HM20" s="166">
        <v>210</v>
      </c>
      <c r="HN20" s="166">
        <v>2542</v>
      </c>
      <c r="HO20" s="166">
        <v>38458</v>
      </c>
      <c r="HP20" s="166">
        <v>0</v>
      </c>
      <c r="HQ20" s="166">
        <v>0</v>
      </c>
      <c r="HR20" s="166">
        <v>0</v>
      </c>
      <c r="HS20" s="166">
        <v>41000</v>
      </c>
      <c r="HT20" s="166">
        <f>FY26_FE_Data_April15[[#This Row],[Oct 1, 2026 (CDC) - K]]+FY26_FE_Data_April15[[#This Row],[Oct 1, 2026 (CDC) - Grades 1-6]]+FY26_FE_Data_April15[[#This Row],[Oct 1, 2026 (CDC) - Grades 7-8]]</f>
        <v>2542</v>
      </c>
      <c r="HU20" s="166">
        <v>7755.1555550000003</v>
      </c>
    </row>
    <row r="21" spans="1:229" ht="39">
      <c r="A21" s="158">
        <v>20</v>
      </c>
      <c r="B21" s="159" t="s">
        <v>321</v>
      </c>
      <c r="C21" s="160" t="s">
        <v>322</v>
      </c>
      <c r="D21" s="160" t="s">
        <v>87</v>
      </c>
      <c r="E21" s="159" t="s">
        <v>784</v>
      </c>
      <c r="F21" s="159" t="s">
        <v>784</v>
      </c>
      <c r="G21" s="159"/>
      <c r="H21" s="161">
        <v>289.21111111111111</v>
      </c>
      <c r="I21" s="161">
        <v>31.933333333333334</v>
      </c>
      <c r="J21" s="161">
        <v>321.14444444444445</v>
      </c>
      <c r="K21" s="162">
        <v>179</v>
      </c>
      <c r="L21" s="162">
        <v>1077</v>
      </c>
      <c r="M21" s="162">
        <v>429</v>
      </c>
      <c r="N21" s="162">
        <v>849</v>
      </c>
      <c r="O21" s="162">
        <v>2534</v>
      </c>
      <c r="P21" s="162">
        <v>2355</v>
      </c>
      <c r="Q21" s="162">
        <v>1685</v>
      </c>
      <c r="R21" s="162">
        <v>36</v>
      </c>
      <c r="S21" s="160">
        <v>177.92777777777778</v>
      </c>
      <c r="T21" s="160">
        <v>166.76111111111112</v>
      </c>
      <c r="U21" s="160">
        <v>175.51666666666668</v>
      </c>
      <c r="V21" s="160">
        <v>171.3388888888889</v>
      </c>
      <c r="W21" s="160">
        <v>184.03888888888889</v>
      </c>
      <c r="X21" s="160">
        <v>192.40555555555557</v>
      </c>
      <c r="Y21" s="160">
        <v>169.49444444444444</v>
      </c>
      <c r="Z21" s="160">
        <v>202.49444444444444</v>
      </c>
      <c r="AA21" s="160">
        <v>209.86111111111111</v>
      </c>
      <c r="AB21" s="160">
        <v>215.40555555555557</v>
      </c>
      <c r="AC21" s="160">
        <v>200.3388888888889</v>
      </c>
      <c r="AD21" s="160">
        <v>205.53888888888889</v>
      </c>
      <c r="AE21" s="160">
        <v>182.14444444444445</v>
      </c>
      <c r="AF21" s="160">
        <v>1059.5555555555557</v>
      </c>
      <c r="AG21" s="160">
        <v>412.35555555555555</v>
      </c>
      <c r="AH21" s="160">
        <v>803.42777777777769</v>
      </c>
      <c r="AI21" s="160">
        <v>1649.8388888888892</v>
      </c>
      <c r="AJ21" s="160">
        <v>2275.3388888888894</v>
      </c>
      <c r="AK21" s="160">
        <v>2453.2666666666669</v>
      </c>
      <c r="AL21" s="161">
        <v>317.69444444444446</v>
      </c>
      <c r="AM21" s="161">
        <v>38.87222222222222</v>
      </c>
      <c r="AN21" s="161">
        <v>356.56666666666666</v>
      </c>
      <c r="AO21" s="161">
        <v>2492.1388888888891</v>
      </c>
      <c r="AP21" s="162">
        <v>172</v>
      </c>
      <c r="AQ21" s="168">
        <v>190</v>
      </c>
      <c r="AR21" s="160">
        <v>161</v>
      </c>
      <c r="AS21" s="160">
        <v>179</v>
      </c>
      <c r="AT21" s="160">
        <v>180</v>
      </c>
      <c r="AU21" s="160">
        <v>180</v>
      </c>
      <c r="AV21" s="160">
        <v>190</v>
      </c>
      <c r="AW21" s="160">
        <v>168</v>
      </c>
      <c r="AX21" s="160">
        <v>206</v>
      </c>
      <c r="AY21" s="160">
        <v>234</v>
      </c>
      <c r="AZ21" s="160">
        <v>224</v>
      </c>
      <c r="BA21" s="160">
        <v>202</v>
      </c>
      <c r="BB21" s="160">
        <v>187</v>
      </c>
      <c r="BC21" s="160">
        <v>1080</v>
      </c>
      <c r="BD21" s="160">
        <v>374</v>
      </c>
      <c r="BE21" s="160">
        <v>847</v>
      </c>
      <c r="BF21" s="160">
        <v>1626</v>
      </c>
      <c r="BG21" s="160">
        <v>2301</v>
      </c>
      <c r="BH21" s="160">
        <v>2473</v>
      </c>
      <c r="BI21" s="160">
        <v>165</v>
      </c>
      <c r="BJ21" s="160">
        <v>7</v>
      </c>
      <c r="BK21" s="160">
        <v>3</v>
      </c>
      <c r="BL21" s="160">
        <v>1373</v>
      </c>
      <c r="BM21" s="160">
        <v>322</v>
      </c>
      <c r="BN21" s="162">
        <v>34</v>
      </c>
      <c r="BO21" s="162">
        <v>356</v>
      </c>
      <c r="BP21" s="162">
        <v>152</v>
      </c>
      <c r="BQ21" s="163">
        <v>9.2327646516911444E-2</v>
      </c>
      <c r="BR21" s="164">
        <v>152.44900000000004</v>
      </c>
      <c r="BS21" s="164">
        <v>144.44900000000001</v>
      </c>
      <c r="BT21" s="164">
        <v>138.44900000000004</v>
      </c>
      <c r="BU21" s="164">
        <v>159.69899999999998</v>
      </c>
      <c r="BV21" s="165">
        <v>0</v>
      </c>
      <c r="BW21" s="165">
        <v>0</v>
      </c>
      <c r="BX21" s="166">
        <v>0</v>
      </c>
      <c r="BY21" s="166">
        <v>4.1944439999999998</v>
      </c>
      <c r="BZ21" s="166">
        <v>168.74444399999999</v>
      </c>
      <c r="CA21" s="166">
        <v>172.9388888888889</v>
      </c>
      <c r="CB21" s="166">
        <v>189.03333333333333</v>
      </c>
      <c r="CC21" s="166">
        <v>162.1888888888889</v>
      </c>
      <c r="CD21" s="166">
        <v>177.26666666666668</v>
      </c>
      <c r="CE21" s="166">
        <v>177.57222222222222</v>
      </c>
      <c r="CF21" s="166">
        <v>180.61111111111111</v>
      </c>
      <c r="CG21" s="166">
        <v>185.54444444444445</v>
      </c>
      <c r="CH21" s="166">
        <v>167.53888888888889</v>
      </c>
      <c r="CI21" s="166">
        <v>201.71111111111111</v>
      </c>
      <c r="CJ21" s="166">
        <v>222.91666666666666</v>
      </c>
      <c r="CK21" s="166">
        <v>208.67222222222222</v>
      </c>
      <c r="CL21" s="166">
        <v>192.62777777777777</v>
      </c>
      <c r="CM21" s="166">
        <v>170.14444444444445</v>
      </c>
      <c r="CN21" s="166">
        <v>1072.2166666666667</v>
      </c>
      <c r="CO21" s="166">
        <v>369.25</v>
      </c>
      <c r="CP21" s="166">
        <v>794.36111111111109</v>
      </c>
      <c r="CQ21" s="166">
        <v>1614.4055555555556</v>
      </c>
      <c r="CR21" s="166">
        <v>2235.827777777778</v>
      </c>
      <c r="CS21" s="166">
        <v>2408.7666666666669</v>
      </c>
      <c r="CT21" s="166">
        <v>338.13333333333298</v>
      </c>
      <c r="CU21" s="166">
        <v>32.299999999999997</v>
      </c>
      <c r="CV21" s="166">
        <v>370.433333333333</v>
      </c>
      <c r="CW21" s="166">
        <v>2441.0666666666671</v>
      </c>
      <c r="CX21" s="166">
        <v>0</v>
      </c>
      <c r="CY21" s="166">
        <v>155</v>
      </c>
      <c r="CZ21" s="165">
        <v>6</v>
      </c>
      <c r="DA21" s="165">
        <v>161</v>
      </c>
      <c r="DB21" s="165">
        <v>175</v>
      </c>
      <c r="DC21" s="165">
        <v>187</v>
      </c>
      <c r="DD21" s="165">
        <v>182</v>
      </c>
      <c r="DE21" s="165">
        <v>186</v>
      </c>
      <c r="DF21" s="165">
        <v>188</v>
      </c>
      <c r="DG21" s="165">
        <v>190</v>
      </c>
      <c r="DH21" s="165">
        <v>194</v>
      </c>
      <c r="DI21" s="165">
        <v>167</v>
      </c>
      <c r="DJ21" s="165">
        <v>216</v>
      </c>
      <c r="DK21" s="165">
        <v>224</v>
      </c>
      <c r="DL21" s="165">
        <v>216</v>
      </c>
      <c r="DM21" s="165">
        <v>200</v>
      </c>
      <c r="DN21" s="165">
        <v>1108</v>
      </c>
      <c r="DO21" s="165">
        <v>361</v>
      </c>
      <c r="DP21" s="165">
        <v>856</v>
      </c>
      <c r="DQ21" s="165">
        <v>1630</v>
      </c>
      <c r="DR21" s="165">
        <v>2325</v>
      </c>
      <c r="DS21" s="165">
        <v>2486</v>
      </c>
      <c r="DT21" s="165">
        <v>4</v>
      </c>
      <c r="DU21" s="165">
        <v>1365</v>
      </c>
      <c r="DV21" s="165">
        <v>336</v>
      </c>
      <c r="DW21" s="165">
        <v>31</v>
      </c>
      <c r="DX21" s="165">
        <v>367</v>
      </c>
      <c r="DY21" s="165">
        <v>2517</v>
      </c>
      <c r="DZ21" s="165">
        <v>157</v>
      </c>
      <c r="EA21" s="166">
        <v>154.07000000000005</v>
      </c>
      <c r="EB21" s="166">
        <v>146.07000000000002</v>
      </c>
      <c r="EC21" s="166">
        <v>68.818999999999988</v>
      </c>
      <c r="ED21" s="166">
        <v>58.519999999999996</v>
      </c>
      <c r="EE21" s="166">
        <v>0</v>
      </c>
      <c r="EF21" s="166">
        <v>157.07</v>
      </c>
      <c r="EG21" s="167">
        <v>9.4349909674829313E-2</v>
      </c>
      <c r="EH21" s="165"/>
      <c r="EI21" s="165">
        <v>161</v>
      </c>
      <c r="EJ21" s="165">
        <v>2322</v>
      </c>
      <c r="EK21" s="165"/>
      <c r="EL21" s="165"/>
      <c r="EM21" s="166"/>
      <c r="EN21" s="165">
        <v>2483</v>
      </c>
      <c r="EO21" s="165">
        <v>41</v>
      </c>
      <c r="EP21" s="165">
        <v>361</v>
      </c>
      <c r="EQ21" s="165">
        <v>402</v>
      </c>
      <c r="ER21" s="165">
        <v>325</v>
      </c>
      <c r="ES21" s="165">
        <v>36</v>
      </c>
      <c r="ET21" s="165">
        <v>37</v>
      </c>
      <c r="EU21" s="166">
        <v>63</v>
      </c>
      <c r="EV21" s="166">
        <v>6</v>
      </c>
      <c r="EW21" s="166">
        <v>13</v>
      </c>
      <c r="EX21" s="166">
        <v>12</v>
      </c>
      <c r="EY21" s="166">
        <v>75</v>
      </c>
      <c r="EZ21" s="166">
        <v>169</v>
      </c>
      <c r="FA21" s="166">
        <v>6</v>
      </c>
      <c r="FB21" s="166">
        <v>154.5611111111111</v>
      </c>
      <c r="FC21" s="166">
        <v>160.5611111111111</v>
      </c>
      <c r="FD21" s="166">
        <v>174.33333333333334</v>
      </c>
      <c r="FE21" s="166">
        <v>189.36666666666667</v>
      </c>
      <c r="FF21" s="166">
        <v>177.72777777777779</v>
      </c>
      <c r="FG21" s="166">
        <v>181.6</v>
      </c>
      <c r="FH21" s="166">
        <v>185.52222222222221</v>
      </c>
      <c r="FI21" s="166">
        <v>186.90555555555557</v>
      </c>
      <c r="FJ21" s="166">
        <v>191.0611111111111</v>
      </c>
      <c r="FK21" s="166">
        <v>165.61666666666667</v>
      </c>
      <c r="FL21" s="166">
        <v>208.66666666666666</v>
      </c>
      <c r="FM21" s="166">
        <v>217.97222222222223</v>
      </c>
      <c r="FN21" s="166">
        <v>205.46111111111111</v>
      </c>
      <c r="FO21" s="166">
        <v>177.28333333333333</v>
      </c>
      <c r="FP21" s="166">
        <v>1095.4555555555557</v>
      </c>
      <c r="FQ21" s="166">
        <v>356.67777777777781</v>
      </c>
      <c r="FR21" s="166">
        <v>809.38333333333333</v>
      </c>
      <c r="FS21" s="166">
        <v>1612.6944444444443</v>
      </c>
      <c r="FT21" s="166">
        <v>2261.5166666666669</v>
      </c>
      <c r="FU21" s="166">
        <v>2422.0777777777776</v>
      </c>
      <c r="FV21" s="166">
        <v>329.54444444444442</v>
      </c>
      <c r="FW21" s="166">
        <v>35.65</v>
      </c>
      <c r="FX21" s="166">
        <v>365.1944444444444</v>
      </c>
      <c r="FY21" s="166">
        <v>2457.7277777777776</v>
      </c>
      <c r="FZ21" s="165">
        <v>7</v>
      </c>
      <c r="GA21" s="165">
        <v>158</v>
      </c>
      <c r="GB21" s="165">
        <v>165</v>
      </c>
      <c r="GC21" s="165">
        <v>175</v>
      </c>
      <c r="GD21" s="165">
        <v>177</v>
      </c>
      <c r="GE21" s="165">
        <v>199</v>
      </c>
      <c r="GF21" s="165">
        <v>176</v>
      </c>
      <c r="GG21" s="165">
        <v>190</v>
      </c>
      <c r="GH21" s="165">
        <v>192</v>
      </c>
      <c r="GI21" s="165">
        <v>192</v>
      </c>
      <c r="GJ21" s="165">
        <v>194</v>
      </c>
      <c r="GK21" s="165">
        <v>180</v>
      </c>
      <c r="GL21" s="165">
        <v>218</v>
      </c>
      <c r="GM21" s="165">
        <v>225</v>
      </c>
      <c r="GN21" s="165">
        <v>202</v>
      </c>
      <c r="GO21" s="165">
        <v>1109</v>
      </c>
      <c r="GP21" s="165">
        <v>386</v>
      </c>
      <c r="GQ21" s="165">
        <v>825</v>
      </c>
      <c r="GR21" s="165">
        <v>1660</v>
      </c>
      <c r="GS21" s="165">
        <v>2320</v>
      </c>
      <c r="GT21" s="165">
        <v>2485</v>
      </c>
      <c r="GU21" s="165">
        <v>1</v>
      </c>
      <c r="GV21" s="165">
        <v>1290</v>
      </c>
      <c r="GW21" s="165">
        <v>326</v>
      </c>
      <c r="GX21" s="165">
        <v>38</v>
      </c>
      <c r="GY21" s="165">
        <v>364</v>
      </c>
      <c r="GZ21" s="165">
        <v>2523</v>
      </c>
      <c r="HA21" s="165">
        <v>153</v>
      </c>
      <c r="HB21" s="166">
        <v>156.16700000000003</v>
      </c>
      <c r="HC21" s="166">
        <v>148.16700000000003</v>
      </c>
      <c r="HD21" s="166">
        <v>71.158000000000001</v>
      </c>
      <c r="HE21" s="166">
        <v>59.296999999999997</v>
      </c>
      <c r="HF21" s="166"/>
      <c r="HG21" s="166">
        <v>158.167</v>
      </c>
      <c r="HH21" s="166">
        <v>35</v>
      </c>
      <c r="HI21" s="166">
        <v>370</v>
      </c>
      <c r="HJ21" s="166">
        <v>405</v>
      </c>
      <c r="HK21" s="166">
        <v>332</v>
      </c>
      <c r="HL21" s="166">
        <v>38</v>
      </c>
      <c r="HM21" s="166">
        <v>36</v>
      </c>
      <c r="HN21" s="166">
        <v>161</v>
      </c>
      <c r="HO21" s="166">
        <v>2264</v>
      </c>
      <c r="HP21" s="166">
        <v>0</v>
      </c>
      <c r="HQ21" s="166">
        <v>0</v>
      </c>
      <c r="HR21" s="166">
        <v>0</v>
      </c>
      <c r="HS21" s="166">
        <v>2425</v>
      </c>
      <c r="HT21" s="166">
        <f>FY26_FE_Data_April15[[#This Row],[Oct 1, 2026 (CDC) - K]]+FY26_FE_Data_April15[[#This Row],[Oct 1, 2026 (CDC) - Grades 1-6]]+FY26_FE_Data_April15[[#This Row],[Oct 1, 2026 (CDC) - Grades 7-8]]</f>
        <v>161</v>
      </c>
      <c r="HU21" s="166">
        <v>0</v>
      </c>
    </row>
    <row r="22" spans="1:229" ht="26">
      <c r="A22" s="158">
        <v>21</v>
      </c>
      <c r="B22" s="159" t="s">
        <v>323</v>
      </c>
      <c r="C22" s="160" t="s">
        <v>324</v>
      </c>
      <c r="D22" s="160" t="s">
        <v>87</v>
      </c>
      <c r="E22" s="159" t="s">
        <v>784</v>
      </c>
      <c r="F22" s="159" t="s">
        <v>784</v>
      </c>
      <c r="G22" s="159"/>
      <c r="H22" s="161">
        <v>126.16666666666667</v>
      </c>
      <c r="I22" s="161">
        <v>10.783333333333333</v>
      </c>
      <c r="J22" s="161">
        <v>136.95000000000002</v>
      </c>
      <c r="K22" s="162">
        <v>72</v>
      </c>
      <c r="L22" s="162">
        <v>445</v>
      </c>
      <c r="M22" s="162">
        <v>182</v>
      </c>
      <c r="N22" s="162">
        <v>327</v>
      </c>
      <c r="O22" s="162">
        <v>1026</v>
      </c>
      <c r="P22" s="162">
        <v>954</v>
      </c>
      <c r="Q22" s="162">
        <v>699</v>
      </c>
      <c r="R22" s="162">
        <v>11</v>
      </c>
      <c r="S22" s="160">
        <v>71.12222222222222</v>
      </c>
      <c r="T22" s="160">
        <v>63.261111111111113</v>
      </c>
      <c r="U22" s="160">
        <v>79.405555555555551</v>
      </c>
      <c r="V22" s="160">
        <v>59.755555555555553</v>
      </c>
      <c r="W22" s="160">
        <v>89.188888888888883</v>
      </c>
      <c r="X22" s="160">
        <v>72.216666666666669</v>
      </c>
      <c r="Y22" s="160">
        <v>82.033333333333331</v>
      </c>
      <c r="Z22" s="160">
        <v>81.75555555555556</v>
      </c>
      <c r="AA22" s="160">
        <v>98.283333333333331</v>
      </c>
      <c r="AB22" s="160">
        <v>77.25</v>
      </c>
      <c r="AC22" s="160">
        <v>91.37777777777778</v>
      </c>
      <c r="AD22" s="160">
        <v>83.272222222222226</v>
      </c>
      <c r="AE22" s="160">
        <v>65.044444444444451</v>
      </c>
      <c r="AF22" s="160">
        <v>445.86111111111109</v>
      </c>
      <c r="AG22" s="160">
        <v>180.03888888888889</v>
      </c>
      <c r="AH22" s="160">
        <v>316.94444444444446</v>
      </c>
      <c r="AI22" s="160">
        <v>697.02222222222213</v>
      </c>
      <c r="AJ22" s="160">
        <v>942.84444444444443</v>
      </c>
      <c r="AK22" s="160">
        <v>1013.9666666666666</v>
      </c>
      <c r="AL22" s="161">
        <v>139.97777777777779</v>
      </c>
      <c r="AM22" s="161">
        <v>11.427777777777777</v>
      </c>
      <c r="AN22" s="161">
        <v>151.40555555555557</v>
      </c>
      <c r="AO22" s="161">
        <v>1025.3944444444444</v>
      </c>
      <c r="AP22" s="162">
        <v>75</v>
      </c>
      <c r="AQ22" s="168">
        <v>69</v>
      </c>
      <c r="AR22" s="160">
        <v>65</v>
      </c>
      <c r="AS22" s="160">
        <v>78</v>
      </c>
      <c r="AT22" s="160">
        <v>61</v>
      </c>
      <c r="AU22" s="160">
        <v>91</v>
      </c>
      <c r="AV22" s="160">
        <v>74</v>
      </c>
      <c r="AW22" s="160">
        <v>83</v>
      </c>
      <c r="AX22" s="160">
        <v>87</v>
      </c>
      <c r="AY22" s="160">
        <v>103</v>
      </c>
      <c r="AZ22" s="160">
        <v>77</v>
      </c>
      <c r="BA22" s="160">
        <v>96</v>
      </c>
      <c r="BB22" s="160">
        <v>84</v>
      </c>
      <c r="BC22" s="160">
        <v>438</v>
      </c>
      <c r="BD22" s="160">
        <v>170</v>
      </c>
      <c r="BE22" s="160">
        <v>360</v>
      </c>
      <c r="BF22" s="160">
        <v>683</v>
      </c>
      <c r="BG22" s="160">
        <v>968</v>
      </c>
      <c r="BH22" s="160">
        <v>1043</v>
      </c>
      <c r="BI22" s="160">
        <v>72</v>
      </c>
      <c r="BJ22" s="160">
        <v>3</v>
      </c>
      <c r="BK22" s="160">
        <v>1</v>
      </c>
      <c r="BL22" s="160">
        <v>235</v>
      </c>
      <c r="BM22" s="160">
        <v>158</v>
      </c>
      <c r="BN22" s="162">
        <v>11</v>
      </c>
      <c r="BO22" s="162">
        <v>169</v>
      </c>
      <c r="BP22" s="162">
        <v>51</v>
      </c>
      <c r="BQ22" s="163">
        <v>9.2406254524395437E-2</v>
      </c>
      <c r="BR22" s="164">
        <v>69.950000000000017</v>
      </c>
      <c r="BS22" s="164">
        <v>66.200000000000017</v>
      </c>
      <c r="BT22" s="164">
        <v>64.010000000000005</v>
      </c>
      <c r="BU22" s="164">
        <v>70.05</v>
      </c>
      <c r="BV22" s="165">
        <v>0</v>
      </c>
      <c r="BW22" s="165">
        <v>0</v>
      </c>
      <c r="BX22" s="166">
        <v>0</v>
      </c>
      <c r="BY22" s="166">
        <v>6.6666000000000003E-2</v>
      </c>
      <c r="BZ22" s="166">
        <v>74.744444000000001</v>
      </c>
      <c r="CA22" s="166">
        <v>74.811111111111117</v>
      </c>
      <c r="CB22" s="166">
        <v>70.783333333333331</v>
      </c>
      <c r="CC22" s="166">
        <v>64.522222222222226</v>
      </c>
      <c r="CD22" s="166">
        <v>76.716666666666669</v>
      </c>
      <c r="CE22" s="166">
        <v>60.733333333333334</v>
      </c>
      <c r="CF22" s="166">
        <v>92.63333333333334</v>
      </c>
      <c r="CG22" s="166">
        <v>73</v>
      </c>
      <c r="CH22" s="166">
        <v>84.194444444444443</v>
      </c>
      <c r="CI22" s="166">
        <v>86.74444444444444</v>
      </c>
      <c r="CJ22" s="166">
        <v>103.85555555555555</v>
      </c>
      <c r="CK22" s="166">
        <v>77.61666666666666</v>
      </c>
      <c r="CL22" s="166">
        <v>93.705555555555549</v>
      </c>
      <c r="CM22" s="166">
        <v>78.461111111111109</v>
      </c>
      <c r="CN22" s="166">
        <v>438.38888888888886</v>
      </c>
      <c r="CO22" s="166">
        <v>170.93888888888887</v>
      </c>
      <c r="CP22" s="166">
        <v>353.63888888888891</v>
      </c>
      <c r="CQ22" s="166">
        <v>684.13888888888891</v>
      </c>
      <c r="CR22" s="166">
        <v>962.96666666666647</v>
      </c>
      <c r="CS22" s="166">
        <v>1037.7777777777778</v>
      </c>
      <c r="CT22" s="166">
        <v>164.6</v>
      </c>
      <c r="CU22" s="166">
        <v>9.9666666666666703</v>
      </c>
      <c r="CV22" s="166">
        <v>174.56666666666666</v>
      </c>
      <c r="CW22" s="166">
        <v>1047.7444444444445</v>
      </c>
      <c r="CX22" s="166">
        <v>0</v>
      </c>
      <c r="CY22" s="166">
        <v>48</v>
      </c>
      <c r="CZ22" s="165">
        <v>0</v>
      </c>
      <c r="DA22" s="165">
        <v>48</v>
      </c>
      <c r="DB22" s="165">
        <v>80</v>
      </c>
      <c r="DC22" s="165">
        <v>74</v>
      </c>
      <c r="DD22" s="165">
        <v>68</v>
      </c>
      <c r="DE22" s="165">
        <v>78</v>
      </c>
      <c r="DF22" s="165">
        <v>66</v>
      </c>
      <c r="DG22" s="165">
        <v>93</v>
      </c>
      <c r="DH22" s="165">
        <v>77</v>
      </c>
      <c r="DI22" s="165">
        <v>87</v>
      </c>
      <c r="DJ22" s="165">
        <v>94</v>
      </c>
      <c r="DK22" s="165">
        <v>104</v>
      </c>
      <c r="DL22" s="165">
        <v>80</v>
      </c>
      <c r="DM22" s="165">
        <v>92</v>
      </c>
      <c r="DN22" s="165">
        <v>459</v>
      </c>
      <c r="DO22" s="165">
        <v>164</v>
      </c>
      <c r="DP22" s="165">
        <v>370</v>
      </c>
      <c r="DQ22" s="165">
        <v>671</v>
      </c>
      <c r="DR22" s="165">
        <v>993</v>
      </c>
      <c r="DS22" s="165">
        <v>1041</v>
      </c>
      <c r="DT22" s="165">
        <v>2</v>
      </c>
      <c r="DU22" s="165">
        <v>212</v>
      </c>
      <c r="DV22" s="165">
        <v>168</v>
      </c>
      <c r="DW22" s="165">
        <v>8</v>
      </c>
      <c r="DX22" s="165">
        <v>176</v>
      </c>
      <c r="DY22" s="165">
        <v>1049</v>
      </c>
      <c r="DZ22" s="165">
        <v>76</v>
      </c>
      <c r="EA22" s="166">
        <v>68.949999999999989</v>
      </c>
      <c r="EB22" s="166">
        <v>65.16</v>
      </c>
      <c r="EC22" s="166">
        <v>30.85</v>
      </c>
      <c r="ED22" s="166">
        <v>28.23</v>
      </c>
      <c r="EE22" s="166">
        <v>0</v>
      </c>
      <c r="EF22" s="166">
        <v>69.75</v>
      </c>
      <c r="EG22" s="167">
        <v>9.2832167832167745E-2</v>
      </c>
      <c r="EH22" s="165"/>
      <c r="EI22" s="165">
        <v>47</v>
      </c>
      <c r="EJ22" s="165">
        <v>963</v>
      </c>
      <c r="EK22" s="165"/>
      <c r="EL22" s="165"/>
      <c r="EM22" s="166"/>
      <c r="EN22" s="165">
        <v>1010</v>
      </c>
      <c r="EO22" s="165">
        <v>18</v>
      </c>
      <c r="EP22" s="165">
        <v>178</v>
      </c>
      <c r="EQ22" s="165">
        <v>196</v>
      </c>
      <c r="ER22" s="165">
        <v>167</v>
      </c>
      <c r="ES22" s="165">
        <v>11</v>
      </c>
      <c r="ET22" s="165">
        <v>34</v>
      </c>
      <c r="EU22" s="166">
        <v>38</v>
      </c>
      <c r="EV22" s="166">
        <v>3</v>
      </c>
      <c r="EW22" s="166">
        <v>4</v>
      </c>
      <c r="EX22" s="166">
        <v>2</v>
      </c>
      <c r="EY22" s="166">
        <v>26</v>
      </c>
      <c r="EZ22" s="166">
        <v>73</v>
      </c>
      <c r="FA22" s="166">
        <v>1.538888888888889</v>
      </c>
      <c r="FB22" s="166">
        <v>47.427777777777777</v>
      </c>
      <c r="FC22" s="166">
        <v>48.966666666666669</v>
      </c>
      <c r="FD22" s="166">
        <v>78.988888888888894</v>
      </c>
      <c r="FE22" s="166">
        <v>71.705555555555549</v>
      </c>
      <c r="FF22" s="166">
        <v>66.922222222222217</v>
      </c>
      <c r="FG22" s="166">
        <v>76.37222222222222</v>
      </c>
      <c r="FH22" s="166">
        <v>64.588888888888889</v>
      </c>
      <c r="FI22" s="166">
        <v>91.36666666666666</v>
      </c>
      <c r="FJ22" s="166">
        <v>72.511111111111106</v>
      </c>
      <c r="FK22" s="166">
        <v>87.05</v>
      </c>
      <c r="FL22" s="166">
        <v>90.25</v>
      </c>
      <c r="FM22" s="166">
        <v>102.58888888888889</v>
      </c>
      <c r="FN22" s="166">
        <v>78.8</v>
      </c>
      <c r="FO22" s="166">
        <v>86.311111111111117</v>
      </c>
      <c r="FP22" s="166">
        <v>449.94444444444446</v>
      </c>
      <c r="FQ22" s="166">
        <v>159.5611111111111</v>
      </c>
      <c r="FR22" s="166">
        <v>357.95000000000005</v>
      </c>
      <c r="FS22" s="166">
        <v>658.47222222222217</v>
      </c>
      <c r="FT22" s="166">
        <v>967.45555555555541</v>
      </c>
      <c r="FU22" s="166">
        <v>1016.4222222222221</v>
      </c>
      <c r="FV22" s="166">
        <v>168.00555555555556</v>
      </c>
      <c r="FW22" s="166">
        <v>10.633333333333333</v>
      </c>
      <c r="FX22" s="166">
        <v>178.63888888888889</v>
      </c>
      <c r="FY22" s="166">
        <v>1027.0555555555554</v>
      </c>
      <c r="FZ22" s="165">
        <v>3</v>
      </c>
      <c r="GA22" s="165">
        <v>72</v>
      </c>
      <c r="GB22" s="165">
        <v>75</v>
      </c>
      <c r="GC22" s="165">
        <v>51</v>
      </c>
      <c r="GD22" s="165">
        <v>81</v>
      </c>
      <c r="GE22" s="165">
        <v>70</v>
      </c>
      <c r="GF22" s="165">
        <v>69</v>
      </c>
      <c r="GG22" s="165">
        <v>76</v>
      </c>
      <c r="GH22" s="165">
        <v>66</v>
      </c>
      <c r="GI22" s="165">
        <v>94</v>
      </c>
      <c r="GJ22" s="165">
        <v>77</v>
      </c>
      <c r="GK22" s="165">
        <v>91</v>
      </c>
      <c r="GL22" s="165">
        <v>91</v>
      </c>
      <c r="GM22" s="165">
        <v>101</v>
      </c>
      <c r="GN22" s="165">
        <v>82</v>
      </c>
      <c r="GO22" s="165">
        <v>413</v>
      </c>
      <c r="GP22" s="165">
        <v>171</v>
      </c>
      <c r="GQ22" s="165">
        <v>365</v>
      </c>
      <c r="GR22" s="165">
        <v>659</v>
      </c>
      <c r="GS22" s="165">
        <v>949</v>
      </c>
      <c r="GT22" s="165">
        <v>1024</v>
      </c>
      <c r="GU22" s="165">
        <v>0</v>
      </c>
      <c r="GV22" s="165">
        <v>252</v>
      </c>
      <c r="GW22" s="165">
        <v>171</v>
      </c>
      <c r="GX22" s="165">
        <v>12</v>
      </c>
      <c r="GY22" s="165">
        <v>183</v>
      </c>
      <c r="GZ22" s="165">
        <v>1036</v>
      </c>
      <c r="HA22" s="165">
        <v>92</v>
      </c>
      <c r="HB22" s="166">
        <v>67</v>
      </c>
      <c r="HC22" s="166">
        <v>63.550000000000004</v>
      </c>
      <c r="HD22" s="166">
        <v>30.68</v>
      </c>
      <c r="HE22" s="166">
        <v>26.169999999999998</v>
      </c>
      <c r="HF22" s="166"/>
      <c r="HG22" s="166">
        <v>67.7</v>
      </c>
      <c r="HH22" s="166">
        <v>13</v>
      </c>
      <c r="HI22" s="166">
        <v>191</v>
      </c>
      <c r="HJ22" s="166">
        <v>204</v>
      </c>
      <c r="HK22" s="166">
        <v>179</v>
      </c>
      <c r="HL22" s="166">
        <v>12</v>
      </c>
      <c r="HM22" s="166">
        <v>17</v>
      </c>
      <c r="HN22" s="166">
        <v>72</v>
      </c>
      <c r="HO22" s="166">
        <v>908</v>
      </c>
      <c r="HP22" s="166">
        <v>0</v>
      </c>
      <c r="HQ22" s="166">
        <v>0</v>
      </c>
      <c r="HR22" s="166">
        <v>0</v>
      </c>
      <c r="HS22" s="166">
        <v>980</v>
      </c>
      <c r="HT22" s="166">
        <f>FY26_FE_Data_April15[[#This Row],[Oct 1, 2026 (CDC) - K]]+FY26_FE_Data_April15[[#This Row],[Oct 1, 2026 (CDC) - Grades 1-6]]+FY26_FE_Data_April15[[#This Row],[Oct 1, 2026 (CDC) - Grades 7-8]]</f>
        <v>72</v>
      </c>
      <c r="HU22" s="166">
        <v>0</v>
      </c>
    </row>
    <row r="23" spans="1:229" ht="26">
      <c r="A23" s="158">
        <v>22</v>
      </c>
      <c r="B23" s="159" t="s">
        <v>325</v>
      </c>
      <c r="C23" s="160" t="s">
        <v>326</v>
      </c>
      <c r="D23" s="160" t="s">
        <v>87</v>
      </c>
      <c r="E23" s="159" t="s">
        <v>784</v>
      </c>
      <c r="F23" s="159" t="s">
        <v>784</v>
      </c>
      <c r="G23" s="159"/>
      <c r="H23" s="161">
        <v>300.74444444444447</v>
      </c>
      <c r="I23" s="161">
        <v>45.56111111111111</v>
      </c>
      <c r="J23" s="161">
        <v>346.3055555555556</v>
      </c>
      <c r="K23" s="162">
        <v>212</v>
      </c>
      <c r="L23" s="162">
        <v>1784</v>
      </c>
      <c r="M23" s="162">
        <v>766</v>
      </c>
      <c r="N23" s="162">
        <v>1588</v>
      </c>
      <c r="O23" s="162">
        <v>4350</v>
      </c>
      <c r="P23" s="162">
        <v>4138</v>
      </c>
      <c r="Q23" s="162">
        <v>2762</v>
      </c>
      <c r="R23" s="162">
        <v>42</v>
      </c>
      <c r="S23" s="160">
        <v>215.6</v>
      </c>
      <c r="T23" s="160">
        <v>264.9111111111111</v>
      </c>
      <c r="U23" s="160">
        <v>261.16666666666669</v>
      </c>
      <c r="V23" s="160">
        <v>297.06111111111113</v>
      </c>
      <c r="W23" s="160">
        <v>300.18333333333334</v>
      </c>
      <c r="X23" s="160">
        <v>311.23888888888888</v>
      </c>
      <c r="Y23" s="160">
        <v>337.61111111111109</v>
      </c>
      <c r="Z23" s="160">
        <v>358.79444444444442</v>
      </c>
      <c r="AA23" s="160">
        <v>387.89444444444445</v>
      </c>
      <c r="AB23" s="160">
        <v>360.51111111111112</v>
      </c>
      <c r="AC23" s="160">
        <v>406.8</v>
      </c>
      <c r="AD23" s="160">
        <v>402.09444444444443</v>
      </c>
      <c r="AE23" s="160">
        <v>334.42777777777781</v>
      </c>
      <c r="AF23" s="160">
        <v>1772.1722222222222</v>
      </c>
      <c r="AG23" s="160">
        <v>746.68888888888887</v>
      </c>
      <c r="AH23" s="160">
        <v>1503.8333333333335</v>
      </c>
      <c r="AI23" s="160">
        <v>2734.4611111111112</v>
      </c>
      <c r="AJ23" s="160">
        <v>4022.6944444444448</v>
      </c>
      <c r="AK23" s="160">
        <v>4238.2944444444447</v>
      </c>
      <c r="AL23" s="161">
        <v>331.11666666666667</v>
      </c>
      <c r="AM23" s="161">
        <v>49.961111111111109</v>
      </c>
      <c r="AN23" s="161">
        <v>381.07777777777778</v>
      </c>
      <c r="AO23" s="161">
        <v>4288.2555555555555</v>
      </c>
      <c r="AP23" s="162">
        <v>208</v>
      </c>
      <c r="AQ23" s="168">
        <v>212</v>
      </c>
      <c r="AR23" s="160">
        <v>277</v>
      </c>
      <c r="AS23" s="160">
        <v>267</v>
      </c>
      <c r="AT23" s="160">
        <v>288</v>
      </c>
      <c r="AU23" s="160">
        <v>307</v>
      </c>
      <c r="AV23" s="160">
        <v>340</v>
      </c>
      <c r="AW23" s="160">
        <v>357</v>
      </c>
      <c r="AX23" s="160">
        <v>376</v>
      </c>
      <c r="AY23" s="160">
        <v>395</v>
      </c>
      <c r="AZ23" s="160">
        <v>382</v>
      </c>
      <c r="BA23" s="160">
        <v>411</v>
      </c>
      <c r="BB23" s="160">
        <v>426</v>
      </c>
      <c r="BC23" s="160">
        <v>1691</v>
      </c>
      <c r="BD23" s="160">
        <v>733</v>
      </c>
      <c r="BE23" s="160">
        <v>1614</v>
      </c>
      <c r="BF23" s="160">
        <v>2632</v>
      </c>
      <c r="BG23" s="160">
        <v>4038</v>
      </c>
      <c r="BH23" s="160">
        <v>4246</v>
      </c>
      <c r="BI23" s="160">
        <v>208</v>
      </c>
      <c r="BJ23" s="160">
        <v>0</v>
      </c>
      <c r="BK23" s="160">
        <v>3</v>
      </c>
      <c r="BL23" s="160">
        <v>792</v>
      </c>
      <c r="BM23" s="160">
        <v>352</v>
      </c>
      <c r="BN23" s="162">
        <v>44</v>
      </c>
      <c r="BO23" s="162">
        <v>396</v>
      </c>
      <c r="BP23" s="162">
        <v>407</v>
      </c>
      <c r="BQ23" s="163">
        <v>0.10544518905089384</v>
      </c>
      <c r="BR23" s="164">
        <v>349.06700000000018</v>
      </c>
      <c r="BS23" s="164">
        <v>335.06700000000018</v>
      </c>
      <c r="BT23" s="164">
        <v>302.5150000000001</v>
      </c>
      <c r="BU23" s="164">
        <v>334.51500000000004</v>
      </c>
      <c r="BV23" s="165">
        <v>0</v>
      </c>
      <c r="BW23" s="165">
        <v>0</v>
      </c>
      <c r="BX23" s="166">
        <v>0</v>
      </c>
      <c r="BY23" s="166">
        <v>0</v>
      </c>
      <c r="BZ23" s="166">
        <v>212.84444400000001</v>
      </c>
      <c r="CA23" s="166">
        <v>212.84444444444443</v>
      </c>
      <c r="CB23" s="166">
        <v>213.35</v>
      </c>
      <c r="CC23" s="166">
        <v>276.76666666666665</v>
      </c>
      <c r="CD23" s="166">
        <v>268.13333333333333</v>
      </c>
      <c r="CE23" s="166">
        <v>291.45555555555558</v>
      </c>
      <c r="CF23" s="166">
        <v>299.59444444444443</v>
      </c>
      <c r="CG23" s="166">
        <v>333.59444444444443</v>
      </c>
      <c r="CH23" s="166">
        <v>352.06666666666666</v>
      </c>
      <c r="CI23" s="166">
        <v>365.76111111111112</v>
      </c>
      <c r="CJ23" s="166">
        <v>382.3388888888889</v>
      </c>
      <c r="CK23" s="166">
        <v>373.96666666666664</v>
      </c>
      <c r="CL23" s="166">
        <v>399.95</v>
      </c>
      <c r="CM23" s="166">
        <v>349.13888888888891</v>
      </c>
      <c r="CN23" s="166">
        <v>1682.8944444444444</v>
      </c>
      <c r="CO23" s="166">
        <v>717.82777777777778</v>
      </c>
      <c r="CP23" s="166">
        <v>1505.3944444444444</v>
      </c>
      <c r="CQ23" s="166">
        <v>2613.5666666666666</v>
      </c>
      <c r="CR23" s="166">
        <v>3906.1166666666668</v>
      </c>
      <c r="CS23" s="166">
        <v>4118.9611111111108</v>
      </c>
      <c r="CT23" s="166">
        <v>348.11666666666702</v>
      </c>
      <c r="CU23" s="166">
        <v>50.5833333333333</v>
      </c>
      <c r="CV23" s="166">
        <v>398.70000000000033</v>
      </c>
      <c r="CW23" s="166">
        <v>4169.5444444444438</v>
      </c>
      <c r="CX23" s="166">
        <v>0</v>
      </c>
      <c r="CY23" s="166">
        <v>211</v>
      </c>
      <c r="CZ23" s="165">
        <v>0</v>
      </c>
      <c r="DA23" s="165">
        <v>211</v>
      </c>
      <c r="DB23" s="165">
        <v>234</v>
      </c>
      <c r="DC23" s="165">
        <v>220</v>
      </c>
      <c r="DD23" s="165">
        <v>291</v>
      </c>
      <c r="DE23" s="165">
        <v>282</v>
      </c>
      <c r="DF23" s="165">
        <v>297</v>
      </c>
      <c r="DG23" s="165">
        <v>322</v>
      </c>
      <c r="DH23" s="165">
        <v>344</v>
      </c>
      <c r="DI23" s="165">
        <v>360</v>
      </c>
      <c r="DJ23" s="165">
        <v>381</v>
      </c>
      <c r="DK23" s="165">
        <v>394</v>
      </c>
      <c r="DL23" s="165">
        <v>370</v>
      </c>
      <c r="DM23" s="165">
        <v>411</v>
      </c>
      <c r="DN23" s="165">
        <v>1646</v>
      </c>
      <c r="DO23" s="165">
        <v>704</v>
      </c>
      <c r="DP23" s="165">
        <v>1556</v>
      </c>
      <c r="DQ23" s="165">
        <v>2561</v>
      </c>
      <c r="DR23" s="165">
        <v>3906</v>
      </c>
      <c r="DS23" s="165">
        <v>4117</v>
      </c>
      <c r="DT23" s="165">
        <v>3</v>
      </c>
      <c r="DU23" s="165">
        <v>743</v>
      </c>
      <c r="DV23" s="165">
        <v>347</v>
      </c>
      <c r="DW23" s="165">
        <v>55</v>
      </c>
      <c r="DX23" s="165">
        <v>402</v>
      </c>
      <c r="DY23" s="165">
        <v>4172</v>
      </c>
      <c r="DZ23" s="165">
        <v>377</v>
      </c>
      <c r="EA23" s="166">
        <v>361.85000000000008</v>
      </c>
      <c r="EB23" s="166">
        <v>347.85</v>
      </c>
      <c r="EC23" s="166">
        <v>129.18299999999999</v>
      </c>
      <c r="ED23" s="166">
        <v>131.40800000000002</v>
      </c>
      <c r="EE23" s="166">
        <v>0</v>
      </c>
      <c r="EF23" s="166">
        <v>367.16999999999996</v>
      </c>
      <c r="EG23" s="167">
        <v>0.10603806801792842</v>
      </c>
      <c r="EH23" s="165"/>
      <c r="EI23" s="165">
        <v>205</v>
      </c>
      <c r="EJ23" s="165">
        <v>3788</v>
      </c>
      <c r="EK23" s="165"/>
      <c r="EL23" s="165"/>
      <c r="EM23" s="166"/>
      <c r="EN23" s="165">
        <v>3993</v>
      </c>
      <c r="EO23" s="165">
        <v>16</v>
      </c>
      <c r="EP23" s="165">
        <v>414</v>
      </c>
      <c r="EQ23" s="165">
        <v>430</v>
      </c>
      <c r="ER23" s="165">
        <v>354</v>
      </c>
      <c r="ES23" s="165">
        <v>60</v>
      </c>
      <c r="ET23" s="165">
        <v>40</v>
      </c>
      <c r="EU23" s="166">
        <v>75.349999999999994</v>
      </c>
      <c r="EV23" s="166">
        <v>6</v>
      </c>
      <c r="EW23" s="166">
        <v>18.690000000000001</v>
      </c>
      <c r="EX23" s="166">
        <v>37</v>
      </c>
      <c r="EY23" s="166">
        <v>0</v>
      </c>
      <c r="EZ23" s="166">
        <v>137.04</v>
      </c>
      <c r="FA23" s="166">
        <v>0</v>
      </c>
      <c r="FB23" s="166">
        <v>212.0611111111111</v>
      </c>
      <c r="FC23" s="166">
        <v>212.0611111111111</v>
      </c>
      <c r="FD23" s="166">
        <v>235.65555555555557</v>
      </c>
      <c r="FE23" s="166">
        <v>220.36666666666667</v>
      </c>
      <c r="FF23" s="166">
        <v>290.36111111111109</v>
      </c>
      <c r="FG23" s="166">
        <v>277.13333333333333</v>
      </c>
      <c r="FH23" s="166">
        <v>296.61666666666667</v>
      </c>
      <c r="FI23" s="166">
        <v>317.30555555555554</v>
      </c>
      <c r="FJ23" s="166">
        <v>334.90555555555557</v>
      </c>
      <c r="FK23" s="166">
        <v>350.35</v>
      </c>
      <c r="FL23" s="166">
        <v>371.51111111111112</v>
      </c>
      <c r="FM23" s="166">
        <v>381.75</v>
      </c>
      <c r="FN23" s="166">
        <v>368.34444444444443</v>
      </c>
      <c r="FO23" s="166">
        <v>341.97777777777776</v>
      </c>
      <c r="FP23" s="166">
        <v>1637.4388888888889</v>
      </c>
      <c r="FQ23" s="166">
        <v>685.25555555555559</v>
      </c>
      <c r="FR23" s="166">
        <v>1463.5833333333335</v>
      </c>
      <c r="FS23" s="166">
        <v>2534.7555555555555</v>
      </c>
      <c r="FT23" s="166">
        <v>3786.2777777777774</v>
      </c>
      <c r="FU23" s="166">
        <v>3998.3388888888885</v>
      </c>
      <c r="FV23" s="166">
        <v>355.39444444444445</v>
      </c>
      <c r="FW23" s="166">
        <v>56.527777777777779</v>
      </c>
      <c r="FX23" s="166">
        <v>411.92222222222222</v>
      </c>
      <c r="FY23" s="166">
        <v>4054.8666666666663</v>
      </c>
      <c r="FZ23" s="165">
        <v>0</v>
      </c>
      <c r="GA23" s="165">
        <v>226</v>
      </c>
      <c r="GB23" s="165">
        <v>226</v>
      </c>
      <c r="GC23" s="165">
        <v>240</v>
      </c>
      <c r="GD23" s="165">
        <v>248</v>
      </c>
      <c r="GE23" s="165">
        <v>232</v>
      </c>
      <c r="GF23" s="165">
        <v>294</v>
      </c>
      <c r="GG23" s="165">
        <v>296</v>
      </c>
      <c r="GH23" s="165">
        <v>312</v>
      </c>
      <c r="GI23" s="165">
        <v>318</v>
      </c>
      <c r="GJ23" s="165">
        <v>354</v>
      </c>
      <c r="GK23" s="165">
        <v>378</v>
      </c>
      <c r="GL23" s="165">
        <v>383</v>
      </c>
      <c r="GM23" s="165">
        <v>393</v>
      </c>
      <c r="GN23" s="165">
        <v>375</v>
      </c>
      <c r="GO23" s="165">
        <v>1622</v>
      </c>
      <c r="GP23" s="165">
        <v>672</v>
      </c>
      <c r="GQ23" s="165">
        <v>1529</v>
      </c>
      <c r="GR23" s="165">
        <v>2520</v>
      </c>
      <c r="GS23" s="165">
        <v>3823</v>
      </c>
      <c r="GT23" s="165">
        <v>4049</v>
      </c>
      <c r="GU23" s="165">
        <v>5</v>
      </c>
      <c r="GV23" s="165">
        <v>468</v>
      </c>
      <c r="GW23" s="165">
        <v>363</v>
      </c>
      <c r="GX23" s="165">
        <v>52</v>
      </c>
      <c r="GY23" s="165">
        <v>415</v>
      </c>
      <c r="GZ23" s="165">
        <v>4101</v>
      </c>
      <c r="HA23" s="165">
        <v>324</v>
      </c>
      <c r="HB23" s="166">
        <v>339.02</v>
      </c>
      <c r="HC23" s="166">
        <v>326.02</v>
      </c>
      <c r="HD23" s="166">
        <v>120.47</v>
      </c>
      <c r="HE23" s="166">
        <v>125.94</v>
      </c>
      <c r="HF23" s="166"/>
      <c r="HG23" s="166">
        <v>342.6</v>
      </c>
      <c r="HH23" s="166">
        <v>23</v>
      </c>
      <c r="HI23" s="166">
        <v>419</v>
      </c>
      <c r="HJ23" s="166">
        <v>442</v>
      </c>
      <c r="HK23" s="166">
        <v>363</v>
      </c>
      <c r="HL23" s="166">
        <v>56</v>
      </c>
      <c r="HM23" s="166">
        <v>28</v>
      </c>
      <c r="HN23" s="166">
        <v>218</v>
      </c>
      <c r="HO23" s="166">
        <v>3682</v>
      </c>
      <c r="HP23" s="166">
        <v>0</v>
      </c>
      <c r="HQ23" s="166">
        <v>0</v>
      </c>
      <c r="HR23" s="166">
        <v>0</v>
      </c>
      <c r="HS23" s="166">
        <v>3900</v>
      </c>
      <c r="HT23" s="166">
        <f>FY26_FE_Data_April15[[#This Row],[Oct 1, 2026 (CDC) - K]]+FY26_FE_Data_April15[[#This Row],[Oct 1, 2026 (CDC) - Grades 1-6]]+FY26_FE_Data_April15[[#This Row],[Oct 1, 2026 (CDC) - Grades 7-8]]</f>
        <v>218</v>
      </c>
      <c r="HU23" s="166">
        <v>0</v>
      </c>
    </row>
    <row r="24" spans="1:229" ht="26">
      <c r="A24" s="158">
        <v>23</v>
      </c>
      <c r="B24" s="159" t="s">
        <v>327</v>
      </c>
      <c r="C24" s="160" t="s">
        <v>328</v>
      </c>
      <c r="D24" s="160" t="s">
        <v>87</v>
      </c>
      <c r="E24" s="159" t="s">
        <v>784</v>
      </c>
      <c r="F24" s="159" t="s">
        <v>784</v>
      </c>
      <c r="G24" s="159"/>
      <c r="H24" s="161">
        <v>43.038888888888891</v>
      </c>
      <c r="I24" s="161">
        <v>1</v>
      </c>
      <c r="J24" s="161">
        <v>44.038888888888891</v>
      </c>
      <c r="K24" s="162">
        <v>9</v>
      </c>
      <c r="L24" s="162">
        <v>107</v>
      </c>
      <c r="M24" s="162">
        <v>33</v>
      </c>
      <c r="N24" s="162">
        <v>111</v>
      </c>
      <c r="O24" s="162">
        <v>260</v>
      </c>
      <c r="P24" s="162">
        <v>251</v>
      </c>
      <c r="Q24" s="162">
        <v>149</v>
      </c>
      <c r="R24" s="162">
        <v>1</v>
      </c>
      <c r="S24" s="160">
        <v>9.7388888888888889</v>
      </c>
      <c r="T24" s="160">
        <v>15.9</v>
      </c>
      <c r="U24" s="160">
        <v>21.844444444444445</v>
      </c>
      <c r="V24" s="160">
        <v>16.083333333333332</v>
      </c>
      <c r="W24" s="160">
        <v>15.666666666666666</v>
      </c>
      <c r="X24" s="160">
        <v>17.816666666666666</v>
      </c>
      <c r="Y24" s="160">
        <v>22.511111111111113</v>
      </c>
      <c r="Z24" s="160">
        <v>18.361111111111111</v>
      </c>
      <c r="AA24" s="160">
        <v>15.116666666666667</v>
      </c>
      <c r="AB24" s="160">
        <v>30.966666666666665</v>
      </c>
      <c r="AC24" s="160">
        <v>24.177777777777777</v>
      </c>
      <c r="AD24" s="160">
        <v>23.705555555555556</v>
      </c>
      <c r="AE24" s="160">
        <v>31.488888888888887</v>
      </c>
      <c r="AF24" s="160">
        <v>109.82222222222222</v>
      </c>
      <c r="AG24" s="160">
        <v>33.477777777777774</v>
      </c>
      <c r="AH24" s="160">
        <v>110.33888888888887</v>
      </c>
      <c r="AI24" s="160">
        <v>153.03888888888889</v>
      </c>
      <c r="AJ24" s="160">
        <v>253.63888888888889</v>
      </c>
      <c r="AK24" s="160">
        <v>263.37777777777779</v>
      </c>
      <c r="AL24" s="161">
        <v>40.116666666666667</v>
      </c>
      <c r="AM24" s="161">
        <v>0.99444444444444446</v>
      </c>
      <c r="AN24" s="161">
        <v>41.111111111111114</v>
      </c>
      <c r="AO24" s="161">
        <v>264.37222222222226</v>
      </c>
      <c r="AP24" s="162">
        <v>20</v>
      </c>
      <c r="AQ24" s="168">
        <v>9</v>
      </c>
      <c r="AR24" s="160">
        <v>16</v>
      </c>
      <c r="AS24" s="160">
        <v>23</v>
      </c>
      <c r="AT24" s="160">
        <v>17</v>
      </c>
      <c r="AU24" s="160">
        <v>15</v>
      </c>
      <c r="AV24" s="160">
        <v>18</v>
      </c>
      <c r="AW24" s="160">
        <v>29</v>
      </c>
      <c r="AX24" s="160">
        <v>21</v>
      </c>
      <c r="AY24" s="160">
        <v>16</v>
      </c>
      <c r="AZ24" s="160">
        <v>31</v>
      </c>
      <c r="BA24" s="160">
        <v>23</v>
      </c>
      <c r="BB24" s="160">
        <v>24</v>
      </c>
      <c r="BC24" s="160">
        <v>98</v>
      </c>
      <c r="BD24" s="160">
        <v>50</v>
      </c>
      <c r="BE24" s="160">
        <v>94</v>
      </c>
      <c r="BF24" s="160">
        <v>168</v>
      </c>
      <c r="BG24" s="160">
        <v>242</v>
      </c>
      <c r="BH24" s="160">
        <v>262</v>
      </c>
      <c r="BI24" s="160">
        <v>20</v>
      </c>
      <c r="BJ24" s="160">
        <v>0</v>
      </c>
      <c r="BK24" s="160">
        <v>0</v>
      </c>
      <c r="BL24" s="160">
        <v>143</v>
      </c>
      <c r="BM24" s="160">
        <v>39</v>
      </c>
      <c r="BN24" s="162">
        <v>1</v>
      </c>
      <c r="BO24" s="162">
        <v>40</v>
      </c>
      <c r="BP24" s="162">
        <v>28</v>
      </c>
      <c r="BQ24" s="163">
        <v>8.1578251742314867E-2</v>
      </c>
      <c r="BR24" s="164">
        <v>29.13</v>
      </c>
      <c r="BS24" s="164">
        <v>27.200000000000003</v>
      </c>
      <c r="BT24" s="164">
        <v>27.200000000000003</v>
      </c>
      <c r="BU24" s="164">
        <v>29.13</v>
      </c>
      <c r="BV24" s="165">
        <v>0</v>
      </c>
      <c r="BW24" s="165">
        <v>0</v>
      </c>
      <c r="BX24" s="166">
        <v>0</v>
      </c>
      <c r="BY24" s="166">
        <v>0</v>
      </c>
      <c r="BZ24" s="166">
        <v>18.816666000000001</v>
      </c>
      <c r="CA24" s="166">
        <v>18.816666666666666</v>
      </c>
      <c r="CB24" s="166">
        <v>9.405555555555555</v>
      </c>
      <c r="CC24" s="166">
        <v>17.411111111111111</v>
      </c>
      <c r="CD24" s="166">
        <v>22.661111111111111</v>
      </c>
      <c r="CE24" s="166">
        <v>15.222222222222221</v>
      </c>
      <c r="CF24" s="166">
        <v>16.138888888888889</v>
      </c>
      <c r="CG24" s="166">
        <v>17.444444444444443</v>
      </c>
      <c r="CH24" s="166">
        <v>28.183333333333334</v>
      </c>
      <c r="CI24" s="166">
        <v>19.194444444444443</v>
      </c>
      <c r="CJ24" s="166">
        <v>16.383333333333333</v>
      </c>
      <c r="CK24" s="166">
        <v>29.35</v>
      </c>
      <c r="CL24" s="166">
        <v>22.5</v>
      </c>
      <c r="CM24" s="166">
        <v>23.344444444444445</v>
      </c>
      <c r="CN24" s="166">
        <v>98.283333333333317</v>
      </c>
      <c r="CO24" s="166">
        <v>47.37777777777778</v>
      </c>
      <c r="CP24" s="166">
        <v>91.577777777777783</v>
      </c>
      <c r="CQ24" s="166">
        <v>164.47777777777776</v>
      </c>
      <c r="CR24" s="166">
        <v>237.23888888888885</v>
      </c>
      <c r="CS24" s="166">
        <v>256.05555555555554</v>
      </c>
      <c r="CT24" s="166">
        <v>40.977777777777803</v>
      </c>
      <c r="CU24" s="166">
        <v>2</v>
      </c>
      <c r="CV24" s="166">
        <v>42.977777777777803</v>
      </c>
      <c r="CW24" s="166">
        <v>258.05555555555554</v>
      </c>
      <c r="CX24" s="166">
        <v>0</v>
      </c>
      <c r="CY24" s="166">
        <v>56</v>
      </c>
      <c r="CZ24" s="165">
        <v>0</v>
      </c>
      <c r="DA24" s="165">
        <v>56</v>
      </c>
      <c r="DB24" s="165">
        <v>35</v>
      </c>
      <c r="DC24" s="165">
        <v>45</v>
      </c>
      <c r="DD24" s="165">
        <v>37</v>
      </c>
      <c r="DE24" s="165">
        <v>44</v>
      </c>
      <c r="DF24" s="165">
        <v>29</v>
      </c>
      <c r="DG24" s="165">
        <v>27</v>
      </c>
      <c r="DH24" s="165">
        <v>28</v>
      </c>
      <c r="DI24" s="165">
        <v>39</v>
      </c>
      <c r="DJ24" s="165">
        <v>19</v>
      </c>
      <c r="DK24" s="165">
        <v>17</v>
      </c>
      <c r="DL24" s="165">
        <v>29</v>
      </c>
      <c r="DM24" s="165">
        <v>26</v>
      </c>
      <c r="DN24" s="165">
        <v>217</v>
      </c>
      <c r="DO24" s="165">
        <v>67</v>
      </c>
      <c r="DP24" s="165">
        <v>91</v>
      </c>
      <c r="DQ24" s="165">
        <v>340</v>
      </c>
      <c r="DR24" s="165">
        <v>375</v>
      </c>
      <c r="DS24" s="165">
        <v>431</v>
      </c>
      <c r="DT24" s="165">
        <v>0</v>
      </c>
      <c r="DU24" s="165">
        <v>146</v>
      </c>
      <c r="DV24" s="165">
        <v>54</v>
      </c>
      <c r="DW24" s="165">
        <v>2</v>
      </c>
      <c r="DX24" s="165">
        <v>56</v>
      </c>
      <c r="DY24" s="165">
        <v>433</v>
      </c>
      <c r="DZ24" s="165">
        <v>36</v>
      </c>
      <c r="EA24" s="166">
        <v>30.445</v>
      </c>
      <c r="EB24" s="166">
        <v>28.445000000000004</v>
      </c>
      <c r="EC24" s="166">
        <v>13.7</v>
      </c>
      <c r="ED24" s="166">
        <v>12.445000000000002</v>
      </c>
      <c r="EE24" s="166">
        <v>0.9</v>
      </c>
      <c r="EF24" s="166">
        <v>31.215</v>
      </c>
      <c r="EG24" s="167">
        <v>8.6754002911208106E-2</v>
      </c>
      <c r="EH24" s="165"/>
      <c r="EI24" s="165">
        <v>58</v>
      </c>
      <c r="EJ24" s="165">
        <v>392</v>
      </c>
      <c r="EK24" s="165"/>
      <c r="EL24" s="165"/>
      <c r="EM24" s="166"/>
      <c r="EN24" s="165">
        <v>450</v>
      </c>
      <c r="EO24" s="165">
        <v>7</v>
      </c>
      <c r="EP24" s="165">
        <v>55</v>
      </c>
      <c r="EQ24" s="165">
        <v>62</v>
      </c>
      <c r="ER24" s="165">
        <v>53</v>
      </c>
      <c r="ES24" s="165">
        <v>2</v>
      </c>
      <c r="ET24" s="165">
        <v>0</v>
      </c>
      <c r="EU24" s="166">
        <v>10.050000000000001</v>
      </c>
      <c r="EV24" s="166">
        <v>0.7</v>
      </c>
      <c r="EW24" s="166">
        <v>3.1</v>
      </c>
      <c r="EX24" s="166">
        <v>0</v>
      </c>
      <c r="EY24" s="166">
        <v>7.75</v>
      </c>
      <c r="EZ24" s="166">
        <v>21.6</v>
      </c>
      <c r="FA24" s="166">
        <v>0</v>
      </c>
      <c r="FB24" s="166">
        <v>55.577777777777776</v>
      </c>
      <c r="FC24" s="166">
        <v>55.577777777777776</v>
      </c>
      <c r="FD24" s="166">
        <v>34.422222222222224</v>
      </c>
      <c r="FE24" s="166">
        <v>44.68888888888889</v>
      </c>
      <c r="FF24" s="166">
        <v>37.638888888888886</v>
      </c>
      <c r="FG24" s="166">
        <v>44.68333333333333</v>
      </c>
      <c r="FH24" s="166">
        <v>28.416666666666668</v>
      </c>
      <c r="FI24" s="166">
        <v>25.344444444444445</v>
      </c>
      <c r="FJ24" s="166">
        <v>29.43888888888889</v>
      </c>
      <c r="FK24" s="166">
        <v>35.894444444444446</v>
      </c>
      <c r="FL24" s="166">
        <v>19.327777777777779</v>
      </c>
      <c r="FM24" s="166">
        <v>16.394444444444446</v>
      </c>
      <c r="FN24" s="166">
        <v>29</v>
      </c>
      <c r="FO24" s="166">
        <v>26</v>
      </c>
      <c r="FP24" s="166">
        <v>215.19444444444443</v>
      </c>
      <c r="FQ24" s="166">
        <v>65.333333333333343</v>
      </c>
      <c r="FR24" s="166">
        <v>90.722222222222229</v>
      </c>
      <c r="FS24" s="166">
        <v>336.10555555555555</v>
      </c>
      <c r="FT24" s="166">
        <v>371.25</v>
      </c>
      <c r="FU24" s="166">
        <v>426.82777777777778</v>
      </c>
      <c r="FV24" s="166">
        <v>54.81666666666667</v>
      </c>
      <c r="FW24" s="166">
        <v>2</v>
      </c>
      <c r="FX24" s="166">
        <v>56.81666666666667</v>
      </c>
      <c r="FY24" s="166">
        <v>428.82777777777778</v>
      </c>
      <c r="FZ24" s="165">
        <v>0</v>
      </c>
      <c r="GA24" s="165">
        <v>34</v>
      </c>
      <c r="GB24" s="165">
        <v>34</v>
      </c>
      <c r="GC24" s="165">
        <v>48</v>
      </c>
      <c r="GD24" s="165">
        <v>33</v>
      </c>
      <c r="GE24" s="165">
        <v>35</v>
      </c>
      <c r="GF24" s="165">
        <v>32</v>
      </c>
      <c r="GG24" s="165">
        <v>42</v>
      </c>
      <c r="GH24" s="165">
        <v>27</v>
      </c>
      <c r="GI24" s="165">
        <v>31</v>
      </c>
      <c r="GJ24" s="165">
        <v>31</v>
      </c>
      <c r="GK24" s="165">
        <v>30</v>
      </c>
      <c r="GL24" s="165">
        <v>19</v>
      </c>
      <c r="GM24" s="165">
        <v>16</v>
      </c>
      <c r="GN24" s="165">
        <v>30</v>
      </c>
      <c r="GO24" s="165">
        <v>217</v>
      </c>
      <c r="GP24" s="165">
        <v>62</v>
      </c>
      <c r="GQ24" s="165">
        <v>95</v>
      </c>
      <c r="GR24" s="165">
        <v>313</v>
      </c>
      <c r="GS24" s="165">
        <v>374</v>
      </c>
      <c r="GT24" s="165">
        <v>408</v>
      </c>
      <c r="GU24" s="165">
        <v>0</v>
      </c>
      <c r="GV24" s="165">
        <v>118</v>
      </c>
      <c r="GW24" s="165">
        <v>51</v>
      </c>
      <c r="GX24" s="165">
        <v>1</v>
      </c>
      <c r="GY24" s="165">
        <v>52</v>
      </c>
      <c r="GZ24" s="165">
        <v>409</v>
      </c>
      <c r="HA24" s="165">
        <v>29</v>
      </c>
      <c r="HB24" s="166">
        <v>30.875</v>
      </c>
      <c r="HC24" s="166">
        <v>28.945</v>
      </c>
      <c r="HD24" s="166">
        <v>16.200000000000003</v>
      </c>
      <c r="HE24" s="166">
        <v>11.325000000000001</v>
      </c>
      <c r="HF24" s="166"/>
      <c r="HG24" s="166">
        <v>30.945</v>
      </c>
      <c r="HH24" s="166">
        <v>4</v>
      </c>
      <c r="HI24" s="166">
        <v>48</v>
      </c>
      <c r="HJ24" s="166">
        <v>52</v>
      </c>
      <c r="HK24" s="166">
        <v>46</v>
      </c>
      <c r="HL24" s="166">
        <v>2</v>
      </c>
      <c r="HM24" s="166">
        <v>0</v>
      </c>
      <c r="HN24" s="166">
        <v>33</v>
      </c>
      <c r="HO24" s="166">
        <v>367</v>
      </c>
      <c r="HP24" s="166">
        <v>0</v>
      </c>
      <c r="HQ24" s="166">
        <v>0</v>
      </c>
      <c r="HR24" s="166">
        <v>0</v>
      </c>
      <c r="HS24" s="166">
        <v>400</v>
      </c>
      <c r="HT24" s="166">
        <f>FY26_FE_Data_April15[[#This Row],[Oct 1, 2026 (CDC) - K]]+FY26_FE_Data_April15[[#This Row],[Oct 1, 2026 (CDC) - Grades 1-6]]+FY26_FE_Data_April15[[#This Row],[Oct 1, 2026 (CDC) - Grades 7-8]]</f>
        <v>33</v>
      </c>
      <c r="HU24" s="166">
        <v>147.672222</v>
      </c>
    </row>
    <row r="25" spans="1:229" ht="26">
      <c r="A25" s="158">
        <v>24</v>
      </c>
      <c r="B25" s="159" t="s">
        <v>329</v>
      </c>
      <c r="C25" s="160" t="s">
        <v>330</v>
      </c>
      <c r="D25" s="160" t="s">
        <v>87</v>
      </c>
      <c r="E25" s="159" t="s">
        <v>784</v>
      </c>
      <c r="F25" s="159" t="s">
        <v>784</v>
      </c>
      <c r="G25" s="159"/>
      <c r="H25" s="161">
        <v>85.12222222222222</v>
      </c>
      <c r="I25" s="161">
        <v>5.25</v>
      </c>
      <c r="J25" s="161">
        <v>90.37222222222222</v>
      </c>
      <c r="K25" s="162">
        <v>39</v>
      </c>
      <c r="L25" s="162">
        <v>232</v>
      </c>
      <c r="M25" s="162">
        <v>84</v>
      </c>
      <c r="N25" s="162">
        <v>156</v>
      </c>
      <c r="O25" s="162">
        <v>511</v>
      </c>
      <c r="P25" s="162">
        <v>472</v>
      </c>
      <c r="Q25" s="162">
        <v>355</v>
      </c>
      <c r="R25" s="162">
        <v>5</v>
      </c>
      <c r="S25" s="160">
        <v>39.144444444444446</v>
      </c>
      <c r="T25" s="160">
        <v>35.738888888888887</v>
      </c>
      <c r="U25" s="160">
        <v>40.666666666666664</v>
      </c>
      <c r="V25" s="160">
        <v>41.244444444444447</v>
      </c>
      <c r="W25" s="160">
        <v>30.227777777777778</v>
      </c>
      <c r="X25" s="160">
        <v>41.6</v>
      </c>
      <c r="Y25" s="160">
        <v>37.111111111111114</v>
      </c>
      <c r="Z25" s="160">
        <v>40.25</v>
      </c>
      <c r="AA25" s="160">
        <v>41.65</v>
      </c>
      <c r="AB25" s="160">
        <v>34.327777777777776</v>
      </c>
      <c r="AC25" s="160">
        <v>40.983333333333334</v>
      </c>
      <c r="AD25" s="160">
        <v>42.105555555555554</v>
      </c>
      <c r="AE25" s="160">
        <v>24.638888888888889</v>
      </c>
      <c r="AF25" s="160">
        <v>226.5888888888889</v>
      </c>
      <c r="AG25" s="160">
        <v>81.900000000000006</v>
      </c>
      <c r="AH25" s="160">
        <v>142.05555555555554</v>
      </c>
      <c r="AI25" s="160">
        <v>347.63333333333333</v>
      </c>
      <c r="AJ25" s="160">
        <v>450.54444444444448</v>
      </c>
      <c r="AK25" s="160">
        <v>489.68888888888893</v>
      </c>
      <c r="AL25" s="161">
        <v>81.061111111111117</v>
      </c>
      <c r="AM25" s="161">
        <v>11.811111111111112</v>
      </c>
      <c r="AN25" s="161">
        <v>92.872222222222234</v>
      </c>
      <c r="AO25" s="161">
        <v>501.50000000000006</v>
      </c>
      <c r="AP25" s="162">
        <v>30</v>
      </c>
      <c r="AQ25" s="168">
        <v>42</v>
      </c>
      <c r="AR25" s="160">
        <v>39</v>
      </c>
      <c r="AS25" s="160">
        <v>45</v>
      </c>
      <c r="AT25" s="160">
        <v>40</v>
      </c>
      <c r="AU25" s="160">
        <v>31</v>
      </c>
      <c r="AV25" s="160">
        <v>43</v>
      </c>
      <c r="AW25" s="160">
        <v>41</v>
      </c>
      <c r="AX25" s="160">
        <v>43</v>
      </c>
      <c r="AY25" s="160">
        <v>42</v>
      </c>
      <c r="AZ25" s="160">
        <v>40</v>
      </c>
      <c r="BA25" s="160">
        <v>42</v>
      </c>
      <c r="BB25" s="160">
        <v>44</v>
      </c>
      <c r="BC25" s="160">
        <v>240</v>
      </c>
      <c r="BD25" s="160">
        <v>84</v>
      </c>
      <c r="BE25" s="160">
        <v>168</v>
      </c>
      <c r="BF25" s="160">
        <v>354</v>
      </c>
      <c r="BG25" s="160">
        <v>492</v>
      </c>
      <c r="BH25" s="160">
        <v>522</v>
      </c>
      <c r="BI25" s="160">
        <v>30</v>
      </c>
      <c r="BJ25" s="160">
        <v>0</v>
      </c>
      <c r="BK25" s="160">
        <v>0</v>
      </c>
      <c r="BL25" s="160">
        <v>207</v>
      </c>
      <c r="BM25" s="160">
        <v>79</v>
      </c>
      <c r="BN25" s="162">
        <v>15</v>
      </c>
      <c r="BO25" s="162">
        <v>94</v>
      </c>
      <c r="BP25" s="162">
        <v>5</v>
      </c>
      <c r="BQ25" s="163">
        <v>9.358002406738869E-2</v>
      </c>
      <c r="BR25" s="164">
        <v>41.609999999999992</v>
      </c>
      <c r="BS25" s="164">
        <v>39.559999999999988</v>
      </c>
      <c r="BT25" s="164">
        <v>37.559999999999995</v>
      </c>
      <c r="BU25" s="164">
        <v>40.610000000000007</v>
      </c>
      <c r="BV25" s="165">
        <v>0</v>
      </c>
      <c r="BW25" s="165">
        <v>0</v>
      </c>
      <c r="BX25" s="166">
        <v>0</v>
      </c>
      <c r="BY25" s="166">
        <v>0.25555499999999998</v>
      </c>
      <c r="BZ25" s="166">
        <v>28.405555</v>
      </c>
      <c r="CA25" s="166">
        <v>28.661111111111111</v>
      </c>
      <c r="CB25" s="166">
        <v>42.527777777777779</v>
      </c>
      <c r="CC25" s="166">
        <v>38.799999999999997</v>
      </c>
      <c r="CD25" s="166">
        <v>43.8</v>
      </c>
      <c r="CE25" s="166">
        <v>40.461111111111109</v>
      </c>
      <c r="CF25" s="166">
        <v>31.983333333333334</v>
      </c>
      <c r="CG25" s="166">
        <v>41.711111111111109</v>
      </c>
      <c r="CH25" s="166">
        <v>38.37222222222222</v>
      </c>
      <c r="CI25" s="166">
        <v>43.422222222222224</v>
      </c>
      <c r="CJ25" s="166">
        <v>40.677777777777777</v>
      </c>
      <c r="CK25" s="166">
        <v>34.950000000000003</v>
      </c>
      <c r="CL25" s="166">
        <v>40.738888888888887</v>
      </c>
      <c r="CM25" s="166">
        <v>40.288888888888891</v>
      </c>
      <c r="CN25" s="166">
        <v>239.28333333333336</v>
      </c>
      <c r="CO25" s="166">
        <v>81.794444444444451</v>
      </c>
      <c r="CP25" s="166">
        <v>156.65555555555557</v>
      </c>
      <c r="CQ25" s="166">
        <v>349.73888888888888</v>
      </c>
      <c r="CR25" s="166">
        <v>477.73333333333335</v>
      </c>
      <c r="CS25" s="166">
        <v>506.39444444444439</v>
      </c>
      <c r="CT25" s="166">
        <v>74.4166666666667</v>
      </c>
      <c r="CU25" s="166">
        <v>15.272222222222201</v>
      </c>
      <c r="CV25" s="166">
        <v>89.688888888888897</v>
      </c>
      <c r="CW25" s="166">
        <v>521.66666666666663</v>
      </c>
      <c r="CX25" s="166">
        <v>0</v>
      </c>
      <c r="CY25" s="166">
        <v>26</v>
      </c>
      <c r="CZ25" s="165">
        <v>0</v>
      </c>
      <c r="DA25" s="165">
        <v>26</v>
      </c>
      <c r="DB25" s="165">
        <v>30</v>
      </c>
      <c r="DC25" s="165">
        <v>41</v>
      </c>
      <c r="DD25" s="165">
        <v>40</v>
      </c>
      <c r="DE25" s="165">
        <v>45</v>
      </c>
      <c r="DF25" s="165">
        <v>43</v>
      </c>
      <c r="DG25" s="165">
        <v>32</v>
      </c>
      <c r="DH25" s="165">
        <v>42</v>
      </c>
      <c r="DI25" s="165">
        <v>38</v>
      </c>
      <c r="DJ25" s="165">
        <v>43</v>
      </c>
      <c r="DK25" s="165">
        <v>41</v>
      </c>
      <c r="DL25" s="165">
        <v>36</v>
      </c>
      <c r="DM25" s="165">
        <v>42</v>
      </c>
      <c r="DN25" s="165">
        <v>231</v>
      </c>
      <c r="DO25" s="165">
        <v>80</v>
      </c>
      <c r="DP25" s="165">
        <v>162</v>
      </c>
      <c r="DQ25" s="165">
        <v>337</v>
      </c>
      <c r="DR25" s="165">
        <v>473</v>
      </c>
      <c r="DS25" s="165">
        <v>499</v>
      </c>
      <c r="DT25" s="165">
        <v>0</v>
      </c>
      <c r="DU25" s="165">
        <v>185</v>
      </c>
      <c r="DV25" s="165">
        <v>78</v>
      </c>
      <c r="DW25" s="165">
        <v>6</v>
      </c>
      <c r="DX25" s="165">
        <v>84</v>
      </c>
      <c r="DY25" s="165">
        <v>505</v>
      </c>
      <c r="DZ25" s="165">
        <v>3</v>
      </c>
      <c r="EA25" s="166">
        <v>41.61</v>
      </c>
      <c r="EB25" s="166">
        <v>39.509999999999991</v>
      </c>
      <c r="EC25" s="166">
        <v>16.160000000000004</v>
      </c>
      <c r="ED25" s="166">
        <v>16.549999999999997</v>
      </c>
      <c r="EE25" s="166">
        <v>0</v>
      </c>
      <c r="EF25" s="166">
        <v>42.239999999999995</v>
      </c>
      <c r="EG25" s="167">
        <v>8.9534883720930269E-2</v>
      </c>
      <c r="EH25" s="165"/>
      <c r="EI25" s="165">
        <v>25</v>
      </c>
      <c r="EJ25" s="165">
        <v>453</v>
      </c>
      <c r="EK25" s="165"/>
      <c r="EL25" s="165"/>
      <c r="EM25" s="166"/>
      <c r="EN25" s="165">
        <v>478</v>
      </c>
      <c r="EO25" s="165">
        <v>6</v>
      </c>
      <c r="EP25" s="165">
        <v>84</v>
      </c>
      <c r="EQ25" s="165">
        <v>90</v>
      </c>
      <c r="ER25" s="165">
        <v>77</v>
      </c>
      <c r="ES25" s="165">
        <v>7</v>
      </c>
      <c r="ET25" s="165">
        <v>23</v>
      </c>
      <c r="EU25" s="166">
        <v>15.833</v>
      </c>
      <c r="EV25" s="166">
        <v>1.7</v>
      </c>
      <c r="EW25" s="166">
        <v>1.8</v>
      </c>
      <c r="EX25" s="166">
        <v>0.2</v>
      </c>
      <c r="EY25" s="166">
        <v>7.66</v>
      </c>
      <c r="EZ25" s="166">
        <v>27.193000000000001</v>
      </c>
      <c r="FA25" s="166">
        <v>0</v>
      </c>
      <c r="FB25" s="166">
        <v>25.666666666666668</v>
      </c>
      <c r="FC25" s="166">
        <v>25.666666666666668</v>
      </c>
      <c r="FD25" s="166">
        <v>29.911111111111111</v>
      </c>
      <c r="FE25" s="166">
        <v>40.033333333333331</v>
      </c>
      <c r="FF25" s="166">
        <v>40.638888888888886</v>
      </c>
      <c r="FG25" s="166">
        <v>41.56666666666667</v>
      </c>
      <c r="FH25" s="166">
        <v>43.016666666666666</v>
      </c>
      <c r="FI25" s="166">
        <v>29.433333333333334</v>
      </c>
      <c r="FJ25" s="166">
        <v>41.366666666666667</v>
      </c>
      <c r="FK25" s="166">
        <v>36.966666666666669</v>
      </c>
      <c r="FL25" s="166">
        <v>41.62222222222222</v>
      </c>
      <c r="FM25" s="166">
        <v>39.983333333333334</v>
      </c>
      <c r="FN25" s="166">
        <v>35.305555555555557</v>
      </c>
      <c r="FO25" s="166">
        <v>36.81111111111111</v>
      </c>
      <c r="FP25" s="166">
        <v>224.60000000000002</v>
      </c>
      <c r="FQ25" s="166">
        <v>78.333333333333343</v>
      </c>
      <c r="FR25" s="166">
        <v>153.72222222222223</v>
      </c>
      <c r="FS25" s="166">
        <v>328.6</v>
      </c>
      <c r="FT25" s="166">
        <v>456.65555555555562</v>
      </c>
      <c r="FU25" s="166">
        <v>482.32222222222225</v>
      </c>
      <c r="FV25" s="166">
        <v>73.933333333333337</v>
      </c>
      <c r="FW25" s="166">
        <v>6.6111111111111107</v>
      </c>
      <c r="FX25" s="166">
        <v>80.544444444444451</v>
      </c>
      <c r="FY25" s="166">
        <v>488.93333333333334</v>
      </c>
      <c r="FZ25" s="165">
        <v>0</v>
      </c>
      <c r="GA25" s="165">
        <v>28</v>
      </c>
      <c r="GB25" s="165">
        <v>28</v>
      </c>
      <c r="GC25" s="165">
        <v>27</v>
      </c>
      <c r="GD25" s="165">
        <v>29</v>
      </c>
      <c r="GE25" s="165">
        <v>41</v>
      </c>
      <c r="GF25" s="165">
        <v>40</v>
      </c>
      <c r="GG25" s="165">
        <v>46</v>
      </c>
      <c r="GH25" s="165">
        <v>44</v>
      </c>
      <c r="GI25" s="165">
        <v>32</v>
      </c>
      <c r="GJ25" s="165">
        <v>41</v>
      </c>
      <c r="GK25" s="165">
        <v>41</v>
      </c>
      <c r="GL25" s="165">
        <v>37</v>
      </c>
      <c r="GM25" s="165">
        <v>41</v>
      </c>
      <c r="GN25" s="165">
        <v>38</v>
      </c>
      <c r="GO25" s="165">
        <v>227</v>
      </c>
      <c r="GP25" s="165">
        <v>73</v>
      </c>
      <c r="GQ25" s="165">
        <v>157</v>
      </c>
      <c r="GR25" s="165">
        <v>328</v>
      </c>
      <c r="GS25" s="165">
        <v>457</v>
      </c>
      <c r="GT25" s="165">
        <v>485</v>
      </c>
      <c r="GU25" s="165">
        <v>0</v>
      </c>
      <c r="GV25" s="165">
        <v>142</v>
      </c>
      <c r="GW25" s="165">
        <v>80</v>
      </c>
      <c r="GX25" s="165">
        <v>7</v>
      </c>
      <c r="GY25" s="165">
        <v>87</v>
      </c>
      <c r="GZ25" s="165">
        <v>492</v>
      </c>
      <c r="HA25" s="165">
        <v>3</v>
      </c>
      <c r="HB25" s="166">
        <v>41.599999999999994</v>
      </c>
      <c r="HC25" s="166">
        <v>39.499999999999993</v>
      </c>
      <c r="HD25" s="166">
        <v>17.22</v>
      </c>
      <c r="HE25" s="166">
        <v>15.86</v>
      </c>
      <c r="HF25" s="166"/>
      <c r="HG25" s="166">
        <v>42.23</v>
      </c>
      <c r="HH25" s="166">
        <v>7</v>
      </c>
      <c r="HI25" s="166">
        <v>90</v>
      </c>
      <c r="HJ25" s="166">
        <v>97</v>
      </c>
      <c r="HK25" s="166">
        <v>82</v>
      </c>
      <c r="HL25" s="166">
        <v>8</v>
      </c>
      <c r="HM25" s="166">
        <v>19</v>
      </c>
      <c r="HN25" s="166">
        <v>27</v>
      </c>
      <c r="HO25" s="166">
        <v>443</v>
      </c>
      <c r="HP25" s="166">
        <v>0</v>
      </c>
      <c r="HQ25" s="166">
        <v>0</v>
      </c>
      <c r="HR25" s="166">
        <v>0</v>
      </c>
      <c r="HS25" s="166">
        <v>470</v>
      </c>
      <c r="HT25" s="166">
        <f>FY26_FE_Data_April15[[#This Row],[Oct 1, 2026 (CDC) - K]]+FY26_FE_Data_April15[[#This Row],[Oct 1, 2026 (CDC) - Grades 1-6]]+FY26_FE_Data_April15[[#This Row],[Oct 1, 2026 (CDC) - Grades 7-8]]</f>
        <v>27</v>
      </c>
      <c r="HU25" s="166">
        <v>0</v>
      </c>
    </row>
    <row r="26" spans="1:229" ht="26">
      <c r="A26" s="158">
        <v>25</v>
      </c>
      <c r="B26" s="159" t="s">
        <v>331</v>
      </c>
      <c r="C26" s="160" t="s">
        <v>332</v>
      </c>
      <c r="D26" s="160" t="s">
        <v>87</v>
      </c>
      <c r="E26" s="159" t="s">
        <v>784</v>
      </c>
      <c r="F26" s="159" t="s">
        <v>784</v>
      </c>
      <c r="G26" s="159"/>
      <c r="H26" s="161">
        <v>376.81111111111113</v>
      </c>
      <c r="I26" s="161">
        <v>44.144444444444446</v>
      </c>
      <c r="J26" s="161">
        <v>420.95555555555558</v>
      </c>
      <c r="K26" s="162">
        <v>185</v>
      </c>
      <c r="L26" s="162">
        <v>1290</v>
      </c>
      <c r="M26" s="162">
        <v>494</v>
      </c>
      <c r="N26" s="162">
        <v>912</v>
      </c>
      <c r="O26" s="162">
        <v>2881</v>
      </c>
      <c r="P26" s="162">
        <v>2696</v>
      </c>
      <c r="Q26" s="162">
        <v>1969</v>
      </c>
      <c r="R26" s="162">
        <v>40</v>
      </c>
      <c r="S26" s="160">
        <v>181.83333333333334</v>
      </c>
      <c r="T26" s="160">
        <v>213.99444444444444</v>
      </c>
      <c r="U26" s="160">
        <v>214.96666666666667</v>
      </c>
      <c r="V26" s="160">
        <v>194.6888888888889</v>
      </c>
      <c r="W26" s="160">
        <v>223.47777777777779</v>
      </c>
      <c r="X26" s="160">
        <v>213.21666666666667</v>
      </c>
      <c r="Y26" s="160">
        <v>212.39444444444445</v>
      </c>
      <c r="Z26" s="160">
        <v>245.46666666666667</v>
      </c>
      <c r="AA26" s="160">
        <v>242.83333333333334</v>
      </c>
      <c r="AB26" s="160">
        <v>215.01666666666668</v>
      </c>
      <c r="AC26" s="160">
        <v>233.11666666666667</v>
      </c>
      <c r="AD26" s="160">
        <v>216.87222222222223</v>
      </c>
      <c r="AE26" s="160">
        <v>208.66666666666666</v>
      </c>
      <c r="AF26" s="160">
        <v>1272.7388888888888</v>
      </c>
      <c r="AG26" s="160">
        <v>488.3</v>
      </c>
      <c r="AH26" s="160">
        <v>873.67222222222222</v>
      </c>
      <c r="AI26" s="160">
        <v>1942.8722222222223</v>
      </c>
      <c r="AJ26" s="160">
        <v>2634.7111111111108</v>
      </c>
      <c r="AK26" s="160">
        <v>2816.5444444444447</v>
      </c>
      <c r="AL26" s="161">
        <v>389.84444444444443</v>
      </c>
      <c r="AM26" s="161">
        <v>42.483333333333334</v>
      </c>
      <c r="AN26" s="161">
        <v>432.32777777777778</v>
      </c>
      <c r="AO26" s="161">
        <v>2859.0277777777778</v>
      </c>
      <c r="AP26" s="162">
        <v>178</v>
      </c>
      <c r="AQ26" s="168">
        <v>194</v>
      </c>
      <c r="AR26" s="160">
        <v>213</v>
      </c>
      <c r="AS26" s="160">
        <v>229</v>
      </c>
      <c r="AT26" s="160">
        <v>195</v>
      </c>
      <c r="AU26" s="160">
        <v>226</v>
      </c>
      <c r="AV26" s="160">
        <v>224</v>
      </c>
      <c r="AW26" s="160">
        <v>218</v>
      </c>
      <c r="AX26" s="160">
        <v>239</v>
      </c>
      <c r="AY26" s="160">
        <v>245</v>
      </c>
      <c r="AZ26" s="160">
        <v>224</v>
      </c>
      <c r="BA26" s="160">
        <v>239</v>
      </c>
      <c r="BB26" s="160">
        <v>207</v>
      </c>
      <c r="BC26" s="160">
        <v>1281</v>
      </c>
      <c r="BD26" s="160">
        <v>457</v>
      </c>
      <c r="BE26" s="160">
        <v>915</v>
      </c>
      <c r="BF26" s="160">
        <v>1916</v>
      </c>
      <c r="BG26" s="160">
        <v>2653</v>
      </c>
      <c r="BH26" s="160">
        <v>2831</v>
      </c>
      <c r="BI26" s="160">
        <v>131</v>
      </c>
      <c r="BJ26" s="160">
        <v>47</v>
      </c>
      <c r="BK26" s="160">
        <v>0</v>
      </c>
      <c r="BL26" s="160">
        <v>2042</v>
      </c>
      <c r="BM26" s="160">
        <v>396</v>
      </c>
      <c r="BN26" s="162">
        <v>41</v>
      </c>
      <c r="BO26" s="162">
        <v>437</v>
      </c>
      <c r="BP26" s="162">
        <v>698</v>
      </c>
      <c r="BQ26" s="163">
        <v>9.4389498384209181E-2</v>
      </c>
      <c r="BR26" s="164">
        <v>207.33500000000012</v>
      </c>
      <c r="BS26" s="164">
        <v>191.29200000000006</v>
      </c>
      <c r="BT26" s="164">
        <v>182.19420000000005</v>
      </c>
      <c r="BU26" s="164">
        <v>215.33500000000004</v>
      </c>
      <c r="BV26" s="165">
        <v>0</v>
      </c>
      <c r="BW26" s="165">
        <v>0</v>
      </c>
      <c r="BX26" s="166">
        <v>0</v>
      </c>
      <c r="BY26" s="166">
        <v>54.411110999999998</v>
      </c>
      <c r="BZ26" s="166">
        <v>126.866666</v>
      </c>
      <c r="CA26" s="166">
        <v>181.27777777777777</v>
      </c>
      <c r="CB26" s="166">
        <v>191.70555555555555</v>
      </c>
      <c r="CC26" s="166">
        <v>215.46666666666667</v>
      </c>
      <c r="CD26" s="166">
        <v>222.05</v>
      </c>
      <c r="CE26" s="166">
        <v>195.27777777777777</v>
      </c>
      <c r="CF26" s="166">
        <v>222.45555555555555</v>
      </c>
      <c r="CG26" s="166">
        <v>222.77777777777777</v>
      </c>
      <c r="CH26" s="166">
        <v>219.71111111111111</v>
      </c>
      <c r="CI26" s="166">
        <v>239.86666666666667</v>
      </c>
      <c r="CJ26" s="166">
        <v>239.22777777777779</v>
      </c>
      <c r="CK26" s="166">
        <v>215.77222222222221</v>
      </c>
      <c r="CL26" s="166">
        <v>231.28888888888889</v>
      </c>
      <c r="CM26" s="166">
        <v>190.1611111111111</v>
      </c>
      <c r="CN26" s="166">
        <v>1269.7333333333333</v>
      </c>
      <c r="CO26" s="166">
        <v>459.57777777777778</v>
      </c>
      <c r="CP26" s="166">
        <v>876.45</v>
      </c>
      <c r="CQ26" s="166">
        <v>1910.588888888889</v>
      </c>
      <c r="CR26" s="166">
        <v>2605.7611111111109</v>
      </c>
      <c r="CS26" s="166">
        <v>2787.0388888888888</v>
      </c>
      <c r="CT26" s="166">
        <v>412.32222222222202</v>
      </c>
      <c r="CU26" s="166">
        <v>37.811111111111103</v>
      </c>
      <c r="CV26" s="166">
        <v>450.1333333333331</v>
      </c>
      <c r="CW26" s="166">
        <v>2824.85</v>
      </c>
      <c r="CX26" s="166">
        <v>0</v>
      </c>
      <c r="CY26" s="166">
        <v>118</v>
      </c>
      <c r="CZ26" s="165">
        <v>28</v>
      </c>
      <c r="DA26" s="165">
        <v>146</v>
      </c>
      <c r="DB26" s="165">
        <v>186</v>
      </c>
      <c r="DC26" s="165">
        <v>193</v>
      </c>
      <c r="DD26" s="165">
        <v>225</v>
      </c>
      <c r="DE26" s="165">
        <v>232</v>
      </c>
      <c r="DF26" s="165">
        <v>197</v>
      </c>
      <c r="DG26" s="165">
        <v>230</v>
      </c>
      <c r="DH26" s="165">
        <v>230</v>
      </c>
      <c r="DI26" s="165">
        <v>214</v>
      </c>
      <c r="DJ26" s="165">
        <v>240</v>
      </c>
      <c r="DK26" s="165">
        <v>243</v>
      </c>
      <c r="DL26" s="165">
        <v>216</v>
      </c>
      <c r="DM26" s="165">
        <v>216</v>
      </c>
      <c r="DN26" s="165">
        <v>1263</v>
      </c>
      <c r="DO26" s="165">
        <v>444</v>
      </c>
      <c r="DP26" s="165">
        <v>915</v>
      </c>
      <c r="DQ26" s="165">
        <v>1853</v>
      </c>
      <c r="DR26" s="165">
        <v>2622</v>
      </c>
      <c r="DS26" s="165">
        <v>2768</v>
      </c>
      <c r="DT26" s="165">
        <v>0</v>
      </c>
      <c r="DU26" s="165">
        <v>1974</v>
      </c>
      <c r="DV26" s="165">
        <v>416</v>
      </c>
      <c r="DW26" s="165">
        <v>39</v>
      </c>
      <c r="DX26" s="165">
        <v>455</v>
      </c>
      <c r="DY26" s="165">
        <v>2807</v>
      </c>
      <c r="DZ26" s="165">
        <v>583</v>
      </c>
      <c r="EA26" s="166">
        <v>218.61199999999999</v>
      </c>
      <c r="EB26" s="166">
        <v>201.83199999999999</v>
      </c>
      <c r="EC26" s="166">
        <v>87.68</v>
      </c>
      <c r="ED26" s="166">
        <v>89.760000000000048</v>
      </c>
      <c r="EE26" s="166">
        <v>1.4</v>
      </c>
      <c r="EF26" s="166">
        <v>225.17199999999997</v>
      </c>
      <c r="EG26" s="167">
        <v>9.3819228642785468E-2</v>
      </c>
      <c r="EH26" s="165"/>
      <c r="EI26" s="165">
        <v>141</v>
      </c>
      <c r="EJ26" s="165">
        <v>2533</v>
      </c>
      <c r="EK26" s="165"/>
      <c r="EL26" s="165"/>
      <c r="EM26" s="166"/>
      <c r="EN26" s="165">
        <v>2674</v>
      </c>
      <c r="EO26" s="165">
        <v>25</v>
      </c>
      <c r="EP26" s="165">
        <v>455</v>
      </c>
      <c r="EQ26" s="165">
        <v>480</v>
      </c>
      <c r="ER26" s="165">
        <v>416</v>
      </c>
      <c r="ES26" s="165">
        <v>39</v>
      </c>
      <c r="ET26" s="165">
        <v>13</v>
      </c>
      <c r="EU26" s="166">
        <v>86.617999999999995</v>
      </c>
      <c r="EV26" s="166">
        <v>7.875</v>
      </c>
      <c r="EW26" s="166">
        <v>15.35</v>
      </c>
      <c r="EX26" s="166">
        <v>17</v>
      </c>
      <c r="EY26" s="166">
        <v>111.313</v>
      </c>
      <c r="EZ26" s="166">
        <v>238.15600000000001</v>
      </c>
      <c r="FA26" s="166">
        <v>18</v>
      </c>
      <c r="FB26" s="166">
        <v>127.51111111111111</v>
      </c>
      <c r="FC26" s="166">
        <v>145.51111111111112</v>
      </c>
      <c r="FD26" s="166">
        <v>186.76666666666668</v>
      </c>
      <c r="FE26" s="166">
        <v>185.72777777777779</v>
      </c>
      <c r="FF26" s="166">
        <v>220.32222222222222</v>
      </c>
      <c r="FG26" s="166">
        <v>225.40555555555557</v>
      </c>
      <c r="FH26" s="166">
        <v>194.3388888888889</v>
      </c>
      <c r="FI26" s="166">
        <v>225.92777777777778</v>
      </c>
      <c r="FJ26" s="166">
        <v>227.01666666666668</v>
      </c>
      <c r="FK26" s="166">
        <v>212.71666666666667</v>
      </c>
      <c r="FL26" s="166">
        <v>239.96111111111111</v>
      </c>
      <c r="FM26" s="166">
        <v>234.70555555555555</v>
      </c>
      <c r="FN26" s="166">
        <v>205.21111111111111</v>
      </c>
      <c r="FO26" s="166">
        <v>191.30555555555554</v>
      </c>
      <c r="FP26" s="166">
        <v>1238.4888888888888</v>
      </c>
      <c r="FQ26" s="166">
        <v>439.73333333333335</v>
      </c>
      <c r="FR26" s="166">
        <v>871.18333333333328</v>
      </c>
      <c r="FS26" s="166">
        <v>1823.7333333333333</v>
      </c>
      <c r="FT26" s="166">
        <v>2549.405555555556</v>
      </c>
      <c r="FU26" s="166">
        <v>2694.916666666667</v>
      </c>
      <c r="FV26" s="166">
        <v>415.98888888888888</v>
      </c>
      <c r="FW26" s="166">
        <v>40.011111111111113</v>
      </c>
      <c r="FX26" s="166">
        <v>456</v>
      </c>
      <c r="FY26" s="166">
        <v>2734.9277777777779</v>
      </c>
      <c r="FZ26" s="165">
        <v>36</v>
      </c>
      <c r="GA26" s="165">
        <v>128</v>
      </c>
      <c r="GB26" s="165">
        <v>164</v>
      </c>
      <c r="GC26" s="165">
        <v>155</v>
      </c>
      <c r="GD26" s="165">
        <v>201</v>
      </c>
      <c r="GE26" s="165">
        <v>194</v>
      </c>
      <c r="GF26" s="165">
        <v>225</v>
      </c>
      <c r="GG26" s="165">
        <v>222</v>
      </c>
      <c r="GH26" s="165">
        <v>200</v>
      </c>
      <c r="GI26" s="165">
        <v>234</v>
      </c>
      <c r="GJ26" s="165">
        <v>231</v>
      </c>
      <c r="GK26" s="165">
        <v>222</v>
      </c>
      <c r="GL26" s="165">
        <v>235</v>
      </c>
      <c r="GM26" s="165">
        <v>240</v>
      </c>
      <c r="GN26" s="165">
        <v>202</v>
      </c>
      <c r="GO26" s="165">
        <v>1197</v>
      </c>
      <c r="GP26" s="165">
        <v>465</v>
      </c>
      <c r="GQ26" s="165">
        <v>899</v>
      </c>
      <c r="GR26" s="165">
        <v>1826</v>
      </c>
      <c r="GS26" s="165">
        <v>2561</v>
      </c>
      <c r="GT26" s="165">
        <v>2725</v>
      </c>
      <c r="GU26" s="165">
        <v>0</v>
      </c>
      <c r="GV26" s="165">
        <v>2114</v>
      </c>
      <c r="GW26" s="165">
        <v>406</v>
      </c>
      <c r="GX26" s="165">
        <v>38</v>
      </c>
      <c r="GY26" s="165">
        <v>444</v>
      </c>
      <c r="GZ26" s="165">
        <v>2763</v>
      </c>
      <c r="HA26" s="165">
        <v>466</v>
      </c>
      <c r="HB26" s="166">
        <v>215.52199999999999</v>
      </c>
      <c r="HC26" s="166">
        <v>198.60199999999998</v>
      </c>
      <c r="HD26" s="166">
        <v>85.87</v>
      </c>
      <c r="HE26" s="166">
        <v>86.49000000000008</v>
      </c>
      <c r="HF26" s="166"/>
      <c r="HG26" s="166">
        <v>223.09200000000001</v>
      </c>
      <c r="HH26" s="166">
        <v>20</v>
      </c>
      <c r="HI26" s="166">
        <v>459</v>
      </c>
      <c r="HJ26" s="166">
        <v>479</v>
      </c>
      <c r="HK26" s="166">
        <v>420</v>
      </c>
      <c r="HL26" s="166">
        <v>39</v>
      </c>
      <c r="HM26" s="166">
        <v>12</v>
      </c>
      <c r="HN26" s="166">
        <v>159</v>
      </c>
      <c r="HO26" s="166">
        <v>2491</v>
      </c>
      <c r="HP26" s="166">
        <v>0</v>
      </c>
      <c r="HQ26" s="166">
        <v>0</v>
      </c>
      <c r="HR26" s="166">
        <v>0</v>
      </c>
      <c r="HS26" s="166">
        <v>2650</v>
      </c>
      <c r="HT26" s="166">
        <f>FY26_FE_Data_April15[[#This Row],[Oct 1, 2026 (CDC) - K]]+FY26_FE_Data_April15[[#This Row],[Oct 1, 2026 (CDC) - Grades 1-6]]+FY26_FE_Data_April15[[#This Row],[Oct 1, 2026 (CDC) - Grades 7-8]]</f>
        <v>159</v>
      </c>
      <c r="HU26" s="166">
        <v>0</v>
      </c>
    </row>
    <row r="27" spans="1:229" ht="26">
      <c r="A27" s="158">
        <v>26</v>
      </c>
      <c r="B27" s="159" t="s">
        <v>333</v>
      </c>
      <c r="C27" s="160" t="s">
        <v>334</v>
      </c>
      <c r="D27" s="160" t="s">
        <v>87</v>
      </c>
      <c r="E27" s="159" t="s">
        <v>784</v>
      </c>
      <c r="F27" s="159" t="s">
        <v>784</v>
      </c>
      <c r="G27" s="159"/>
      <c r="H27" s="161">
        <v>542.23333333333335</v>
      </c>
      <c r="I27" s="161">
        <v>56.366666666666667</v>
      </c>
      <c r="J27" s="161">
        <v>598.6</v>
      </c>
      <c r="K27" s="162">
        <v>330</v>
      </c>
      <c r="L27" s="162">
        <v>2046</v>
      </c>
      <c r="M27" s="162">
        <v>753</v>
      </c>
      <c r="N27" s="162">
        <v>1434</v>
      </c>
      <c r="O27" s="162">
        <v>4563</v>
      </c>
      <c r="P27" s="162">
        <v>4233</v>
      </c>
      <c r="Q27" s="162">
        <v>3129</v>
      </c>
      <c r="R27" s="162">
        <v>57</v>
      </c>
      <c r="S27" s="160">
        <v>331.52777777777777</v>
      </c>
      <c r="T27" s="160">
        <v>328.51666666666665</v>
      </c>
      <c r="U27" s="160">
        <v>379.57777777777778</v>
      </c>
      <c r="V27" s="160">
        <v>319.8</v>
      </c>
      <c r="W27" s="160">
        <v>336.01666666666665</v>
      </c>
      <c r="X27" s="160">
        <v>317.55</v>
      </c>
      <c r="Y27" s="160">
        <v>351.1</v>
      </c>
      <c r="Z27" s="160">
        <v>350.90555555555557</v>
      </c>
      <c r="AA27" s="160">
        <v>394.06666666666666</v>
      </c>
      <c r="AB27" s="160">
        <v>333.92222222222222</v>
      </c>
      <c r="AC27" s="160">
        <v>386.97777777777776</v>
      </c>
      <c r="AD27" s="160">
        <v>335.49444444444447</v>
      </c>
      <c r="AE27" s="160">
        <v>312.01666666666665</v>
      </c>
      <c r="AF27" s="160">
        <v>2032.5611111111111</v>
      </c>
      <c r="AG27" s="160">
        <v>744.97222222222217</v>
      </c>
      <c r="AH27" s="160">
        <v>1368.411111111111</v>
      </c>
      <c r="AI27" s="160">
        <v>3109.0611111111111</v>
      </c>
      <c r="AJ27" s="160">
        <v>4145.9444444444443</v>
      </c>
      <c r="AK27" s="160">
        <v>4477.4722222222217</v>
      </c>
      <c r="AL27" s="161">
        <v>579.25</v>
      </c>
      <c r="AM27" s="161">
        <v>55.038888888888891</v>
      </c>
      <c r="AN27" s="161">
        <v>634.28888888888889</v>
      </c>
      <c r="AO27" s="161">
        <v>4532.5111111111109</v>
      </c>
      <c r="AP27" s="162">
        <v>314</v>
      </c>
      <c r="AQ27" s="168">
        <v>330</v>
      </c>
      <c r="AR27" s="160">
        <v>339</v>
      </c>
      <c r="AS27" s="160">
        <v>375</v>
      </c>
      <c r="AT27" s="160">
        <v>335</v>
      </c>
      <c r="AU27" s="160">
        <v>340</v>
      </c>
      <c r="AV27" s="160">
        <v>322</v>
      </c>
      <c r="AW27" s="160">
        <v>330</v>
      </c>
      <c r="AX27" s="160">
        <v>352</v>
      </c>
      <c r="AY27" s="160">
        <v>412</v>
      </c>
      <c r="AZ27" s="160">
        <v>334</v>
      </c>
      <c r="BA27" s="160">
        <v>386</v>
      </c>
      <c r="BB27" s="160">
        <v>333</v>
      </c>
      <c r="BC27" s="160">
        <v>2041</v>
      </c>
      <c r="BD27" s="160">
        <v>682</v>
      </c>
      <c r="BE27" s="160">
        <v>1465</v>
      </c>
      <c r="BF27" s="160">
        <v>3037</v>
      </c>
      <c r="BG27" s="160">
        <v>4188</v>
      </c>
      <c r="BH27" s="160">
        <v>4502</v>
      </c>
      <c r="BI27" s="160">
        <v>306</v>
      </c>
      <c r="BJ27" s="160">
        <v>8</v>
      </c>
      <c r="BK27" s="160">
        <v>4</v>
      </c>
      <c r="BL27" s="160">
        <v>2046</v>
      </c>
      <c r="BM27" s="160">
        <v>582</v>
      </c>
      <c r="BN27" s="162">
        <v>61</v>
      </c>
      <c r="BO27" s="162">
        <v>643</v>
      </c>
      <c r="BP27" s="162">
        <v>57</v>
      </c>
      <c r="BQ27" s="163">
        <v>0.10595297754589184</v>
      </c>
      <c r="BR27" s="164">
        <v>268.29500000000007</v>
      </c>
      <c r="BS27" s="164">
        <v>253.79500000000007</v>
      </c>
      <c r="BT27" s="164">
        <v>245.28</v>
      </c>
      <c r="BU27" s="164">
        <v>267.495</v>
      </c>
      <c r="BV27" s="165">
        <v>0</v>
      </c>
      <c r="BW27" s="165">
        <v>0</v>
      </c>
      <c r="BX27" s="166">
        <v>0</v>
      </c>
      <c r="BY27" s="166">
        <v>8.5277770000000004</v>
      </c>
      <c r="BZ27" s="166">
        <v>301.67222199999998</v>
      </c>
      <c r="CA27" s="166">
        <v>310.2</v>
      </c>
      <c r="CB27" s="166">
        <v>323.76666666666665</v>
      </c>
      <c r="CC27" s="166">
        <v>334.24444444444447</v>
      </c>
      <c r="CD27" s="166">
        <v>370.87222222222221</v>
      </c>
      <c r="CE27" s="166">
        <v>329.79444444444442</v>
      </c>
      <c r="CF27" s="166">
        <v>333.77222222222224</v>
      </c>
      <c r="CG27" s="166">
        <v>318.08333333333331</v>
      </c>
      <c r="CH27" s="166">
        <v>329.67222222222222</v>
      </c>
      <c r="CI27" s="166">
        <v>342.57222222222219</v>
      </c>
      <c r="CJ27" s="166">
        <v>401.23333333333335</v>
      </c>
      <c r="CK27" s="166">
        <v>329.38333333333333</v>
      </c>
      <c r="CL27" s="166">
        <v>375.03888888888889</v>
      </c>
      <c r="CM27" s="166">
        <v>300.88888888888891</v>
      </c>
      <c r="CN27" s="166">
        <v>2010.5333333333335</v>
      </c>
      <c r="CO27" s="166">
        <v>672.24444444444441</v>
      </c>
      <c r="CP27" s="166">
        <v>1406.5444444444445</v>
      </c>
      <c r="CQ27" s="166">
        <v>2992.9777777777781</v>
      </c>
      <c r="CR27" s="166">
        <v>4089.3222222222221</v>
      </c>
      <c r="CS27" s="166">
        <v>4399.5222222222228</v>
      </c>
      <c r="CT27" s="166">
        <v>591.34444444444398</v>
      </c>
      <c r="CU27" s="166">
        <v>60.3333333333333</v>
      </c>
      <c r="CV27" s="166">
        <v>651.67777777777724</v>
      </c>
      <c r="CW27" s="166">
        <v>4459.8555555555558</v>
      </c>
      <c r="CX27" s="166">
        <v>0</v>
      </c>
      <c r="CY27" s="166">
        <v>291</v>
      </c>
      <c r="CZ27" s="165">
        <v>5</v>
      </c>
      <c r="DA27" s="165">
        <v>296</v>
      </c>
      <c r="DB27" s="165">
        <v>312</v>
      </c>
      <c r="DC27" s="165">
        <v>327</v>
      </c>
      <c r="DD27" s="165">
        <v>337</v>
      </c>
      <c r="DE27" s="165">
        <v>374</v>
      </c>
      <c r="DF27" s="165">
        <v>336</v>
      </c>
      <c r="DG27" s="165">
        <v>341</v>
      </c>
      <c r="DH27" s="165">
        <v>318</v>
      </c>
      <c r="DI27" s="165">
        <v>331</v>
      </c>
      <c r="DJ27" s="165">
        <v>361</v>
      </c>
      <c r="DK27" s="165">
        <v>398</v>
      </c>
      <c r="DL27" s="165">
        <v>324</v>
      </c>
      <c r="DM27" s="165">
        <v>377</v>
      </c>
      <c r="DN27" s="165">
        <v>2027</v>
      </c>
      <c r="DO27" s="165">
        <v>649</v>
      </c>
      <c r="DP27" s="165">
        <v>1460</v>
      </c>
      <c r="DQ27" s="165">
        <v>2972</v>
      </c>
      <c r="DR27" s="165">
        <v>4136</v>
      </c>
      <c r="DS27" s="165">
        <v>4432</v>
      </c>
      <c r="DT27" s="165">
        <v>6</v>
      </c>
      <c r="DU27" s="165">
        <v>2042</v>
      </c>
      <c r="DV27" s="165">
        <v>579</v>
      </c>
      <c r="DW27" s="165">
        <v>63</v>
      </c>
      <c r="DX27" s="165">
        <v>642</v>
      </c>
      <c r="DY27" s="165">
        <v>4495</v>
      </c>
      <c r="DZ27" s="165">
        <v>50</v>
      </c>
      <c r="EA27" s="166">
        <v>266.94099999999997</v>
      </c>
      <c r="EB27" s="166">
        <v>252.44100000000003</v>
      </c>
      <c r="EC27" s="166">
        <v>109.55000000000001</v>
      </c>
      <c r="ED27" s="166">
        <v>115.271</v>
      </c>
      <c r="EE27" s="166">
        <v>1</v>
      </c>
      <c r="EF27" s="166">
        <v>270.44099999999997</v>
      </c>
      <c r="EG27" s="167">
        <v>0.10150435857403167</v>
      </c>
      <c r="EH27" s="165"/>
      <c r="EI27" s="165">
        <v>290</v>
      </c>
      <c r="EJ27" s="165">
        <v>4049</v>
      </c>
      <c r="EK27" s="165"/>
      <c r="EL27" s="165"/>
      <c r="EM27" s="166"/>
      <c r="EN27" s="165">
        <v>4339</v>
      </c>
      <c r="EO27" s="165">
        <v>82</v>
      </c>
      <c r="EP27" s="165">
        <v>660</v>
      </c>
      <c r="EQ27" s="165">
        <v>742</v>
      </c>
      <c r="ER27" s="165">
        <v>600</v>
      </c>
      <c r="ES27" s="165">
        <v>60</v>
      </c>
      <c r="ET27" s="165">
        <v>3</v>
      </c>
      <c r="EU27" s="166">
        <v>102.03</v>
      </c>
      <c r="EV27" s="166">
        <v>7.4</v>
      </c>
      <c r="EW27" s="166">
        <v>17.16</v>
      </c>
      <c r="EX27" s="166">
        <v>6.28</v>
      </c>
      <c r="EY27" s="166">
        <v>82.13</v>
      </c>
      <c r="EZ27" s="166">
        <v>215</v>
      </c>
      <c r="FA27" s="166">
        <v>7</v>
      </c>
      <c r="FB27" s="166">
        <v>285.5</v>
      </c>
      <c r="FC27" s="166">
        <v>292.5</v>
      </c>
      <c r="FD27" s="166">
        <v>306.63888888888891</v>
      </c>
      <c r="FE27" s="166">
        <v>319.35555555555555</v>
      </c>
      <c r="FF27" s="166">
        <v>329.76666666666665</v>
      </c>
      <c r="FG27" s="166">
        <v>371.38333333333333</v>
      </c>
      <c r="FH27" s="166">
        <v>332.17222222222222</v>
      </c>
      <c r="FI27" s="166">
        <v>336.25</v>
      </c>
      <c r="FJ27" s="166">
        <v>313.47222222222223</v>
      </c>
      <c r="FK27" s="166">
        <v>329.05555555555554</v>
      </c>
      <c r="FL27" s="166">
        <v>352.3</v>
      </c>
      <c r="FM27" s="166">
        <v>391.67222222222222</v>
      </c>
      <c r="FN27" s="166">
        <v>312.97222222222223</v>
      </c>
      <c r="FO27" s="166">
        <v>333.7</v>
      </c>
      <c r="FP27" s="166">
        <v>1995.5666666666668</v>
      </c>
      <c r="FQ27" s="166">
        <v>642.52777777777783</v>
      </c>
      <c r="FR27" s="166">
        <v>1390.6444444444444</v>
      </c>
      <c r="FS27" s="166">
        <v>2930.5944444444444</v>
      </c>
      <c r="FT27" s="166">
        <v>4028.7388888888895</v>
      </c>
      <c r="FU27" s="166">
        <v>4321.2388888888891</v>
      </c>
      <c r="FV27" s="166">
        <v>582.54999999999995</v>
      </c>
      <c r="FW27" s="166">
        <v>62.172222222222224</v>
      </c>
      <c r="FX27" s="166">
        <v>644.72222222222217</v>
      </c>
      <c r="FY27" s="166">
        <v>4383.4111111111115</v>
      </c>
      <c r="FZ27" s="165">
        <v>13</v>
      </c>
      <c r="GA27" s="165">
        <v>243</v>
      </c>
      <c r="GB27" s="165">
        <v>256</v>
      </c>
      <c r="GC27" s="165">
        <v>280</v>
      </c>
      <c r="GD27" s="165">
        <v>304</v>
      </c>
      <c r="GE27" s="165">
        <v>323</v>
      </c>
      <c r="GF27" s="165">
        <v>322</v>
      </c>
      <c r="GG27" s="165">
        <v>381</v>
      </c>
      <c r="GH27" s="165">
        <v>338</v>
      </c>
      <c r="GI27" s="165">
        <v>332</v>
      </c>
      <c r="GJ27" s="165">
        <v>312</v>
      </c>
      <c r="GK27" s="165">
        <v>354</v>
      </c>
      <c r="GL27" s="165">
        <v>356</v>
      </c>
      <c r="GM27" s="165">
        <v>400</v>
      </c>
      <c r="GN27" s="165">
        <v>314</v>
      </c>
      <c r="GO27" s="165">
        <v>1948</v>
      </c>
      <c r="GP27" s="165">
        <v>644</v>
      </c>
      <c r="GQ27" s="165">
        <v>1424</v>
      </c>
      <c r="GR27" s="165">
        <v>2848</v>
      </c>
      <c r="GS27" s="165">
        <v>4016</v>
      </c>
      <c r="GT27" s="165">
        <v>4272</v>
      </c>
      <c r="GU27" s="165">
        <v>7</v>
      </c>
      <c r="GV27" s="165">
        <v>1849</v>
      </c>
      <c r="GW27" s="165">
        <v>595</v>
      </c>
      <c r="GX27" s="165">
        <v>65</v>
      </c>
      <c r="GY27" s="165">
        <v>660</v>
      </c>
      <c r="GZ27" s="165">
        <v>4337</v>
      </c>
      <c r="HA27" s="165">
        <v>56</v>
      </c>
      <c r="HB27" s="166">
        <v>262.21100000000007</v>
      </c>
      <c r="HC27" s="166">
        <v>248.26100000000005</v>
      </c>
      <c r="HD27" s="166">
        <v>106.48</v>
      </c>
      <c r="HE27" s="166">
        <v>114.56100000000001</v>
      </c>
      <c r="HF27" s="166"/>
      <c r="HG27" s="166">
        <v>264.71100000000001</v>
      </c>
      <c r="HH27" s="166">
        <v>86</v>
      </c>
      <c r="HI27" s="166">
        <v>670</v>
      </c>
      <c r="HJ27" s="166">
        <v>756</v>
      </c>
      <c r="HK27" s="166">
        <v>605</v>
      </c>
      <c r="HL27" s="166">
        <v>65</v>
      </c>
      <c r="HM27" s="166">
        <v>16</v>
      </c>
      <c r="HN27" s="166">
        <v>249</v>
      </c>
      <c r="HO27" s="166">
        <v>3901</v>
      </c>
      <c r="HP27" s="166">
        <v>0</v>
      </c>
      <c r="HQ27" s="166">
        <v>0</v>
      </c>
      <c r="HR27" s="166">
        <v>0</v>
      </c>
      <c r="HS27" s="166">
        <v>4150</v>
      </c>
      <c r="HT27" s="166">
        <f>FY26_FE_Data_April15[[#This Row],[Oct 1, 2026 (CDC) - K]]+FY26_FE_Data_April15[[#This Row],[Oct 1, 2026 (CDC) - Grades 1-6]]+FY26_FE_Data_April15[[#This Row],[Oct 1, 2026 (CDC) - Grades 7-8]]</f>
        <v>249</v>
      </c>
      <c r="HU27" s="166">
        <v>0</v>
      </c>
    </row>
    <row r="28" spans="1:229" ht="39">
      <c r="A28" s="158">
        <v>27</v>
      </c>
      <c r="B28" s="159" t="s">
        <v>335</v>
      </c>
      <c r="C28" s="160" t="s">
        <v>336</v>
      </c>
      <c r="D28" s="160" t="s">
        <v>87</v>
      </c>
      <c r="E28" s="159" t="s">
        <v>784</v>
      </c>
      <c r="F28" s="159" t="s">
        <v>784</v>
      </c>
      <c r="G28" s="159"/>
      <c r="H28" s="161">
        <v>407.66666666666669</v>
      </c>
      <c r="I28" s="161">
        <v>27.405555555555555</v>
      </c>
      <c r="J28" s="161">
        <v>435.07222222222225</v>
      </c>
      <c r="K28" s="162">
        <v>225</v>
      </c>
      <c r="L28" s="162">
        <v>1432</v>
      </c>
      <c r="M28" s="162">
        <v>479</v>
      </c>
      <c r="N28" s="162">
        <v>1053</v>
      </c>
      <c r="O28" s="162">
        <v>3189</v>
      </c>
      <c r="P28" s="162">
        <v>2964</v>
      </c>
      <c r="Q28" s="162">
        <v>2136</v>
      </c>
      <c r="R28" s="162">
        <v>25</v>
      </c>
      <c r="S28" s="160">
        <v>222.08333333333334</v>
      </c>
      <c r="T28" s="160">
        <v>237.26111111111112</v>
      </c>
      <c r="U28" s="160">
        <v>209.42777777777778</v>
      </c>
      <c r="V28" s="160">
        <v>241.97777777777779</v>
      </c>
      <c r="W28" s="160">
        <v>225.1</v>
      </c>
      <c r="X28" s="160">
        <v>224.66666666666666</v>
      </c>
      <c r="Y28" s="160">
        <v>270.5888888888889</v>
      </c>
      <c r="Z28" s="160">
        <v>230.65</v>
      </c>
      <c r="AA28" s="160">
        <v>239.23333333333332</v>
      </c>
      <c r="AB28" s="160">
        <v>243</v>
      </c>
      <c r="AC28" s="160">
        <v>276.02222222222224</v>
      </c>
      <c r="AD28" s="160">
        <v>238.13888888888889</v>
      </c>
      <c r="AE28" s="160">
        <v>251.17222222222222</v>
      </c>
      <c r="AF28" s="160">
        <v>1409.0222222222224</v>
      </c>
      <c r="AG28" s="160">
        <v>469.88333333333333</v>
      </c>
      <c r="AH28" s="160">
        <v>1008.3333333333334</v>
      </c>
      <c r="AI28" s="160">
        <v>2100.9888888888891</v>
      </c>
      <c r="AJ28" s="160">
        <v>2887.2388888888891</v>
      </c>
      <c r="AK28" s="160">
        <v>3109.3222222222221</v>
      </c>
      <c r="AL28" s="161">
        <v>391.55</v>
      </c>
      <c r="AM28" s="161">
        <v>25.6</v>
      </c>
      <c r="AN28" s="161">
        <v>417.15000000000003</v>
      </c>
      <c r="AO28" s="161">
        <v>3134.922222222222</v>
      </c>
      <c r="AP28" s="162">
        <v>225</v>
      </c>
      <c r="AQ28" s="168">
        <v>227</v>
      </c>
      <c r="AR28" s="160">
        <v>245</v>
      </c>
      <c r="AS28" s="160">
        <v>220</v>
      </c>
      <c r="AT28" s="160">
        <v>245</v>
      </c>
      <c r="AU28" s="160">
        <v>232</v>
      </c>
      <c r="AV28" s="160">
        <v>240</v>
      </c>
      <c r="AW28" s="160">
        <v>275</v>
      </c>
      <c r="AX28" s="160">
        <v>247</v>
      </c>
      <c r="AY28" s="160">
        <v>252</v>
      </c>
      <c r="AZ28" s="160">
        <v>248</v>
      </c>
      <c r="BA28" s="160">
        <v>278</v>
      </c>
      <c r="BB28" s="160">
        <v>237</v>
      </c>
      <c r="BC28" s="160">
        <v>1409</v>
      </c>
      <c r="BD28" s="160">
        <v>522</v>
      </c>
      <c r="BE28" s="160">
        <v>1015</v>
      </c>
      <c r="BF28" s="160">
        <v>2156</v>
      </c>
      <c r="BG28" s="160">
        <v>2946</v>
      </c>
      <c r="BH28" s="160">
        <v>3171</v>
      </c>
      <c r="BI28" s="160">
        <v>200</v>
      </c>
      <c r="BJ28" s="160">
        <v>25</v>
      </c>
      <c r="BK28" s="160">
        <v>2</v>
      </c>
      <c r="BL28" s="160">
        <v>1405</v>
      </c>
      <c r="BM28" s="160">
        <v>400</v>
      </c>
      <c r="BN28" s="162">
        <v>31</v>
      </c>
      <c r="BO28" s="162">
        <v>431</v>
      </c>
      <c r="BP28" s="162">
        <v>274</v>
      </c>
      <c r="BQ28" s="163">
        <v>9.7525700921754221E-2</v>
      </c>
      <c r="BR28" s="164">
        <v>206.23000000000002</v>
      </c>
      <c r="BS28" s="164">
        <v>196.25</v>
      </c>
      <c r="BT28" s="164">
        <v>189.60500000000005</v>
      </c>
      <c r="BU28" s="164">
        <v>203.98999999999998</v>
      </c>
      <c r="BV28" s="165">
        <v>1</v>
      </c>
      <c r="BW28" s="165">
        <v>0</v>
      </c>
      <c r="BX28" s="166">
        <v>0</v>
      </c>
      <c r="BY28" s="166">
        <v>19.161110999999998</v>
      </c>
      <c r="BZ28" s="166">
        <v>204.172222</v>
      </c>
      <c r="CA28" s="166">
        <v>223.33333333333334</v>
      </c>
      <c r="CB28" s="166">
        <v>221.18333333333334</v>
      </c>
      <c r="CC28" s="166">
        <v>238.5</v>
      </c>
      <c r="CD28" s="166">
        <v>220.14444444444445</v>
      </c>
      <c r="CE28" s="166">
        <v>244.42777777777778</v>
      </c>
      <c r="CF28" s="166">
        <v>228.0611111111111</v>
      </c>
      <c r="CG28" s="166">
        <v>235.73333333333332</v>
      </c>
      <c r="CH28" s="166">
        <v>269.89444444444445</v>
      </c>
      <c r="CI28" s="166">
        <v>237.89444444444445</v>
      </c>
      <c r="CJ28" s="166">
        <v>250.03888888888889</v>
      </c>
      <c r="CK28" s="166">
        <v>237.83333333333334</v>
      </c>
      <c r="CL28" s="166">
        <v>266.57777777777778</v>
      </c>
      <c r="CM28" s="166">
        <v>223.13888888888889</v>
      </c>
      <c r="CN28" s="166">
        <v>1388.05</v>
      </c>
      <c r="CO28" s="166">
        <v>507.78888888888889</v>
      </c>
      <c r="CP28" s="166">
        <v>977.58888888888896</v>
      </c>
      <c r="CQ28" s="166">
        <v>2119.172222222222</v>
      </c>
      <c r="CR28" s="166">
        <v>2873.4277777777779</v>
      </c>
      <c r="CS28" s="166">
        <v>3096.7611111111109</v>
      </c>
      <c r="CT28" s="166">
        <v>394.4</v>
      </c>
      <c r="CU28" s="166">
        <v>32.716666666666697</v>
      </c>
      <c r="CV28" s="166">
        <v>427.11666666666667</v>
      </c>
      <c r="CW28" s="166">
        <v>3129.4777777777776</v>
      </c>
      <c r="CX28" s="166">
        <v>32.716665999999996</v>
      </c>
      <c r="CY28" s="166">
        <v>216</v>
      </c>
      <c r="CZ28" s="165">
        <v>17</v>
      </c>
      <c r="DA28" s="165">
        <v>233</v>
      </c>
      <c r="DB28" s="165">
        <v>214</v>
      </c>
      <c r="DC28" s="165">
        <v>235</v>
      </c>
      <c r="DD28" s="165">
        <v>241</v>
      </c>
      <c r="DE28" s="165">
        <v>224</v>
      </c>
      <c r="DF28" s="165">
        <v>253</v>
      </c>
      <c r="DG28" s="165">
        <v>234</v>
      </c>
      <c r="DH28" s="165">
        <v>238</v>
      </c>
      <c r="DI28" s="165">
        <v>288</v>
      </c>
      <c r="DJ28" s="165">
        <v>254</v>
      </c>
      <c r="DK28" s="165">
        <v>258</v>
      </c>
      <c r="DL28" s="165">
        <v>246</v>
      </c>
      <c r="DM28" s="165">
        <v>255</v>
      </c>
      <c r="DN28" s="165">
        <v>1401</v>
      </c>
      <c r="DO28" s="165">
        <v>526</v>
      </c>
      <c r="DP28" s="165">
        <v>1013</v>
      </c>
      <c r="DQ28" s="165">
        <v>2160</v>
      </c>
      <c r="DR28" s="165">
        <v>2940</v>
      </c>
      <c r="DS28" s="165">
        <v>3173</v>
      </c>
      <c r="DT28" s="165">
        <v>3</v>
      </c>
      <c r="DU28" s="165">
        <v>1508</v>
      </c>
      <c r="DV28" s="165">
        <v>428</v>
      </c>
      <c r="DW28" s="165">
        <v>36</v>
      </c>
      <c r="DX28" s="165">
        <v>464</v>
      </c>
      <c r="DY28" s="165">
        <v>3209</v>
      </c>
      <c r="DZ28" s="165">
        <v>291</v>
      </c>
      <c r="EA28" s="166">
        <v>204.38</v>
      </c>
      <c r="EB28" s="166">
        <v>194.39999999999998</v>
      </c>
      <c r="EC28" s="166">
        <v>81.460000000000008</v>
      </c>
      <c r="ED28" s="166">
        <v>87.324999999999989</v>
      </c>
      <c r="EE28" s="166">
        <v>0</v>
      </c>
      <c r="EF28" s="166">
        <v>211.14</v>
      </c>
      <c r="EG28" s="167">
        <v>0.10155325374367119</v>
      </c>
      <c r="EH28" s="165"/>
      <c r="EI28" s="165">
        <v>233</v>
      </c>
      <c r="EJ28" s="165">
        <v>2937</v>
      </c>
      <c r="EK28" s="165"/>
      <c r="EL28" s="165"/>
      <c r="EM28" s="166"/>
      <c r="EN28" s="165">
        <v>3170</v>
      </c>
      <c r="EO28" s="165">
        <v>60</v>
      </c>
      <c r="EP28" s="165">
        <v>457</v>
      </c>
      <c r="EQ28" s="165">
        <v>517</v>
      </c>
      <c r="ER28" s="165">
        <v>420</v>
      </c>
      <c r="ES28" s="165">
        <v>37</v>
      </c>
      <c r="ET28" s="165">
        <v>4</v>
      </c>
      <c r="EU28" s="166">
        <v>127.56</v>
      </c>
      <c r="EV28" s="166">
        <v>10.63</v>
      </c>
      <c r="EW28" s="166">
        <v>20.25</v>
      </c>
      <c r="EX28" s="166">
        <v>8.5</v>
      </c>
      <c r="EY28" s="166">
        <v>40.938000000000002</v>
      </c>
      <c r="EZ28" s="166">
        <v>207.87799999999999</v>
      </c>
      <c r="FA28" s="166">
        <v>12.75</v>
      </c>
      <c r="FB28" s="166">
        <v>209.71666666666667</v>
      </c>
      <c r="FC28" s="166">
        <v>222.46666666666667</v>
      </c>
      <c r="FD28" s="166">
        <v>210.31666666666666</v>
      </c>
      <c r="FE28" s="166">
        <v>225.3388888888889</v>
      </c>
      <c r="FF28" s="166">
        <v>240.23333333333332</v>
      </c>
      <c r="FG28" s="166">
        <v>222.45</v>
      </c>
      <c r="FH28" s="166">
        <v>249.25555555555556</v>
      </c>
      <c r="FI28" s="166">
        <v>223.96111111111111</v>
      </c>
      <c r="FJ28" s="166">
        <v>230.13333333333333</v>
      </c>
      <c r="FK28" s="166">
        <v>277.28888888888889</v>
      </c>
      <c r="FL28" s="166">
        <v>245.74444444444444</v>
      </c>
      <c r="FM28" s="166">
        <v>254.50555555555556</v>
      </c>
      <c r="FN28" s="166">
        <v>231.43333333333334</v>
      </c>
      <c r="FO28" s="166">
        <v>239.87777777777777</v>
      </c>
      <c r="FP28" s="166">
        <v>1371.5555555555557</v>
      </c>
      <c r="FQ28" s="166">
        <v>507.42222222222222</v>
      </c>
      <c r="FR28" s="166">
        <v>971.56111111111113</v>
      </c>
      <c r="FS28" s="166">
        <v>2101.4444444444443</v>
      </c>
      <c r="FT28" s="166">
        <v>2850.5388888888888</v>
      </c>
      <c r="FU28" s="166">
        <v>3073.0055555555555</v>
      </c>
      <c r="FV28" s="166">
        <v>415.16666666666669</v>
      </c>
      <c r="FW28" s="166">
        <v>35.633333333333333</v>
      </c>
      <c r="FX28" s="166">
        <v>450.8</v>
      </c>
      <c r="FY28" s="166">
        <v>3108.6388888888887</v>
      </c>
      <c r="FZ28" s="165">
        <v>19</v>
      </c>
      <c r="GA28" s="165">
        <v>181</v>
      </c>
      <c r="GB28" s="165">
        <v>200</v>
      </c>
      <c r="GC28" s="165">
        <v>221</v>
      </c>
      <c r="GD28" s="165">
        <v>218</v>
      </c>
      <c r="GE28" s="165">
        <v>225</v>
      </c>
      <c r="GF28" s="165">
        <v>247</v>
      </c>
      <c r="GG28" s="165">
        <v>221</v>
      </c>
      <c r="GH28" s="165">
        <v>263</v>
      </c>
      <c r="GI28" s="165">
        <v>232</v>
      </c>
      <c r="GJ28" s="165">
        <v>242</v>
      </c>
      <c r="GK28" s="165">
        <v>295</v>
      </c>
      <c r="GL28" s="165">
        <v>260</v>
      </c>
      <c r="GM28" s="165">
        <v>242</v>
      </c>
      <c r="GN28" s="165">
        <v>235</v>
      </c>
      <c r="GO28" s="165">
        <v>1395</v>
      </c>
      <c r="GP28" s="165">
        <v>474</v>
      </c>
      <c r="GQ28" s="165">
        <v>1032</v>
      </c>
      <c r="GR28" s="165">
        <v>2069</v>
      </c>
      <c r="GS28" s="165">
        <v>2901</v>
      </c>
      <c r="GT28" s="165">
        <v>3101</v>
      </c>
      <c r="GU28" s="165">
        <v>4</v>
      </c>
      <c r="GV28" s="165">
        <v>1476</v>
      </c>
      <c r="GW28" s="165">
        <v>410</v>
      </c>
      <c r="GX28" s="165">
        <v>45</v>
      </c>
      <c r="GY28" s="165">
        <v>455</v>
      </c>
      <c r="GZ28" s="165">
        <v>3146</v>
      </c>
      <c r="HA28" s="165">
        <v>282</v>
      </c>
      <c r="HB28" s="166">
        <v>207.262</v>
      </c>
      <c r="HC28" s="166">
        <v>197.27199999999999</v>
      </c>
      <c r="HD28" s="166">
        <v>81.872</v>
      </c>
      <c r="HE28" s="166">
        <v>86.96</v>
      </c>
      <c r="HF28" s="166"/>
      <c r="HG28" s="166">
        <v>211.072</v>
      </c>
      <c r="HH28" s="166">
        <v>61</v>
      </c>
      <c r="HI28" s="166">
        <v>443</v>
      </c>
      <c r="HJ28" s="166">
        <v>504</v>
      </c>
      <c r="HK28" s="166">
        <v>399</v>
      </c>
      <c r="HL28" s="166">
        <v>44</v>
      </c>
      <c r="HM28" s="166">
        <v>8</v>
      </c>
      <c r="HN28" s="166">
        <v>197</v>
      </c>
      <c r="HO28" s="166">
        <v>2853</v>
      </c>
      <c r="HP28" s="166">
        <v>0</v>
      </c>
      <c r="HQ28" s="166">
        <v>0</v>
      </c>
      <c r="HR28" s="166">
        <v>0</v>
      </c>
      <c r="HS28" s="166">
        <v>3050</v>
      </c>
      <c r="HT28" s="166">
        <f>FY26_FE_Data_April15[[#This Row],[Oct 1, 2026 (CDC) - K]]+FY26_FE_Data_April15[[#This Row],[Oct 1, 2026 (CDC) - Grades 1-6]]+FY26_FE_Data_April15[[#This Row],[Oct 1, 2026 (CDC) - Grades 7-8]]</f>
        <v>197</v>
      </c>
      <c r="HU28" s="166">
        <v>35.633333</v>
      </c>
    </row>
    <row r="29" spans="1:229" ht="26">
      <c r="A29" s="158">
        <v>28</v>
      </c>
      <c r="B29" s="159" t="s">
        <v>337</v>
      </c>
      <c r="C29" s="160" t="s">
        <v>338</v>
      </c>
      <c r="D29" s="160" t="s">
        <v>87</v>
      </c>
      <c r="E29" s="159" t="s">
        <v>784</v>
      </c>
      <c r="F29" s="159" t="s">
        <v>784</v>
      </c>
      <c r="G29" s="159"/>
      <c r="H29" s="161">
        <v>124.67222222222222</v>
      </c>
      <c r="I29" s="161">
        <v>11.522222222222222</v>
      </c>
      <c r="J29" s="161">
        <v>136.19444444444443</v>
      </c>
      <c r="K29" s="162">
        <v>110</v>
      </c>
      <c r="L29" s="162">
        <v>728</v>
      </c>
      <c r="M29" s="162">
        <v>263</v>
      </c>
      <c r="N29" s="162">
        <v>568</v>
      </c>
      <c r="O29" s="162">
        <v>1669</v>
      </c>
      <c r="P29" s="162">
        <v>1559</v>
      </c>
      <c r="Q29" s="162">
        <v>1101</v>
      </c>
      <c r="R29" s="162">
        <v>8</v>
      </c>
      <c r="S29" s="160">
        <v>106.64444444444445</v>
      </c>
      <c r="T29" s="160">
        <v>104.19444444444444</v>
      </c>
      <c r="U29" s="160">
        <v>96.6</v>
      </c>
      <c r="V29" s="160">
        <v>107.39444444444445</v>
      </c>
      <c r="W29" s="160">
        <v>140.37777777777777</v>
      </c>
      <c r="X29" s="160">
        <v>128.31666666666666</v>
      </c>
      <c r="Y29" s="160">
        <v>151.12777777777777</v>
      </c>
      <c r="Z29" s="160">
        <v>115.29444444444445</v>
      </c>
      <c r="AA29" s="160">
        <v>144.3111111111111</v>
      </c>
      <c r="AB29" s="160">
        <v>150.97222222222223</v>
      </c>
      <c r="AC29" s="160">
        <v>147.27222222222221</v>
      </c>
      <c r="AD29" s="160">
        <v>141.51111111111112</v>
      </c>
      <c r="AE29" s="160">
        <v>122.3</v>
      </c>
      <c r="AF29" s="160">
        <v>728.01111111111095</v>
      </c>
      <c r="AG29" s="160">
        <v>259.60555555555555</v>
      </c>
      <c r="AH29" s="160">
        <v>562.05555555555554</v>
      </c>
      <c r="AI29" s="160">
        <v>1094.2611111111112</v>
      </c>
      <c r="AJ29" s="160">
        <v>1549.672222222222</v>
      </c>
      <c r="AK29" s="160">
        <v>1656.3166666666666</v>
      </c>
      <c r="AL29" s="161">
        <v>147.9</v>
      </c>
      <c r="AM29" s="161">
        <v>11.138888888888889</v>
      </c>
      <c r="AN29" s="161">
        <v>159.03888888888889</v>
      </c>
      <c r="AO29" s="161">
        <v>1667.4555555555555</v>
      </c>
      <c r="AP29" s="162">
        <v>94</v>
      </c>
      <c r="AQ29" s="168">
        <v>101</v>
      </c>
      <c r="AR29" s="160">
        <v>111</v>
      </c>
      <c r="AS29" s="160">
        <v>102</v>
      </c>
      <c r="AT29" s="160">
        <v>108</v>
      </c>
      <c r="AU29" s="160">
        <v>140</v>
      </c>
      <c r="AV29" s="160">
        <v>121</v>
      </c>
      <c r="AW29" s="160">
        <v>161</v>
      </c>
      <c r="AX29" s="160">
        <v>113</v>
      </c>
      <c r="AY29" s="160">
        <v>151</v>
      </c>
      <c r="AZ29" s="160">
        <v>154</v>
      </c>
      <c r="BA29" s="160">
        <v>136</v>
      </c>
      <c r="BB29" s="160">
        <v>140</v>
      </c>
      <c r="BC29" s="160">
        <v>683</v>
      </c>
      <c r="BD29" s="160">
        <v>274</v>
      </c>
      <c r="BE29" s="160">
        <v>581</v>
      </c>
      <c r="BF29" s="160">
        <v>1051</v>
      </c>
      <c r="BG29" s="160">
        <v>1538</v>
      </c>
      <c r="BH29" s="160">
        <v>1632</v>
      </c>
      <c r="BI29" s="160">
        <v>94</v>
      </c>
      <c r="BJ29" s="160">
        <v>0</v>
      </c>
      <c r="BK29" s="160">
        <v>0</v>
      </c>
      <c r="BL29" s="160">
        <v>273</v>
      </c>
      <c r="BM29" s="160">
        <v>149</v>
      </c>
      <c r="BN29" s="162">
        <v>9</v>
      </c>
      <c r="BO29" s="162">
        <v>158</v>
      </c>
      <c r="BP29" s="162">
        <v>108</v>
      </c>
      <c r="BQ29" s="163">
        <v>9.3910039036773252E-2</v>
      </c>
      <c r="BR29" s="164">
        <v>108.51</v>
      </c>
      <c r="BS29" s="164">
        <v>102.06</v>
      </c>
      <c r="BT29" s="164">
        <v>96.06</v>
      </c>
      <c r="BU29" s="164">
        <v>108.50999999999999</v>
      </c>
      <c r="BV29" s="165">
        <v>0</v>
      </c>
      <c r="BW29" s="165">
        <v>0</v>
      </c>
      <c r="BX29" s="166">
        <v>0</v>
      </c>
      <c r="BY29" s="166">
        <v>0</v>
      </c>
      <c r="BZ29" s="166">
        <v>92.733333000000002</v>
      </c>
      <c r="CA29" s="166">
        <v>92.733333333333334</v>
      </c>
      <c r="CB29" s="166">
        <v>101.78888888888889</v>
      </c>
      <c r="CC29" s="166">
        <v>109.22222222222223</v>
      </c>
      <c r="CD29" s="166">
        <v>100.57222222222222</v>
      </c>
      <c r="CE29" s="166">
        <v>107.53888888888889</v>
      </c>
      <c r="CF29" s="166">
        <v>139.60555555555555</v>
      </c>
      <c r="CG29" s="166">
        <v>119.60555555555555</v>
      </c>
      <c r="CH29" s="166">
        <v>158.11666666666667</v>
      </c>
      <c r="CI29" s="166">
        <v>112.51666666666667</v>
      </c>
      <c r="CJ29" s="166">
        <v>146.36111111111111</v>
      </c>
      <c r="CK29" s="166">
        <v>152.68333333333334</v>
      </c>
      <c r="CL29" s="166">
        <v>133.85</v>
      </c>
      <c r="CM29" s="166">
        <v>138.03333333333333</v>
      </c>
      <c r="CN29" s="166">
        <v>678.33333333333348</v>
      </c>
      <c r="CO29" s="166">
        <v>270.63333333333333</v>
      </c>
      <c r="CP29" s="166">
        <v>570.92777777777781</v>
      </c>
      <c r="CQ29" s="166">
        <v>1041.7000000000003</v>
      </c>
      <c r="CR29" s="166">
        <v>1519.8944444444446</v>
      </c>
      <c r="CS29" s="166">
        <v>1612.627777777778</v>
      </c>
      <c r="CT29" s="166">
        <v>160.85</v>
      </c>
      <c r="CU29" s="166">
        <v>13.338888888888899</v>
      </c>
      <c r="CV29" s="166">
        <v>174.1888888888889</v>
      </c>
      <c r="CW29" s="166">
        <v>1625.9666666666669</v>
      </c>
      <c r="CX29" s="166">
        <v>0</v>
      </c>
      <c r="CY29" s="166">
        <v>86</v>
      </c>
      <c r="CZ29" s="165">
        <v>0</v>
      </c>
      <c r="DA29" s="165">
        <v>86</v>
      </c>
      <c r="DB29" s="165">
        <v>94</v>
      </c>
      <c r="DC29" s="165">
        <v>99</v>
      </c>
      <c r="DD29" s="165">
        <v>111</v>
      </c>
      <c r="DE29" s="165">
        <v>101</v>
      </c>
      <c r="DF29" s="165">
        <v>110</v>
      </c>
      <c r="DG29" s="165">
        <v>143</v>
      </c>
      <c r="DH29" s="165">
        <v>119</v>
      </c>
      <c r="DI29" s="165">
        <v>157</v>
      </c>
      <c r="DJ29" s="165">
        <v>123</v>
      </c>
      <c r="DK29" s="165">
        <v>153</v>
      </c>
      <c r="DL29" s="165">
        <v>153</v>
      </c>
      <c r="DM29" s="165">
        <v>124</v>
      </c>
      <c r="DN29" s="165">
        <v>658</v>
      </c>
      <c r="DO29" s="165">
        <v>276</v>
      </c>
      <c r="DP29" s="165">
        <v>553</v>
      </c>
      <c r="DQ29" s="165">
        <v>1020</v>
      </c>
      <c r="DR29" s="165">
        <v>1487</v>
      </c>
      <c r="DS29" s="165">
        <v>1573</v>
      </c>
      <c r="DT29" s="165">
        <v>0</v>
      </c>
      <c r="DU29" s="165">
        <v>251</v>
      </c>
      <c r="DV29" s="165">
        <v>156</v>
      </c>
      <c r="DW29" s="165">
        <v>13</v>
      </c>
      <c r="DX29" s="165">
        <v>169</v>
      </c>
      <c r="DY29" s="165">
        <v>1586</v>
      </c>
      <c r="DZ29" s="165">
        <v>121</v>
      </c>
      <c r="EA29" s="166">
        <v>108.77</v>
      </c>
      <c r="EB29" s="166">
        <v>102.02</v>
      </c>
      <c r="EC29" s="166">
        <v>38.049999999999997</v>
      </c>
      <c r="ED29" s="166">
        <v>47.064999999999991</v>
      </c>
      <c r="EE29" s="166">
        <v>0.1</v>
      </c>
      <c r="EF29" s="166">
        <v>113.57</v>
      </c>
      <c r="EG29" s="167">
        <v>9.0797607178464579E-2</v>
      </c>
      <c r="EH29" s="165"/>
      <c r="EI29" s="165">
        <v>83</v>
      </c>
      <c r="EJ29" s="165">
        <v>1442</v>
      </c>
      <c r="EK29" s="165"/>
      <c r="EL29" s="165"/>
      <c r="EM29" s="166"/>
      <c r="EN29" s="165">
        <v>1525</v>
      </c>
      <c r="EO29" s="165">
        <v>16</v>
      </c>
      <c r="EP29" s="165">
        <v>173</v>
      </c>
      <c r="EQ29" s="165">
        <v>189</v>
      </c>
      <c r="ER29" s="165">
        <v>155</v>
      </c>
      <c r="ES29" s="165">
        <v>18</v>
      </c>
      <c r="ET29" s="165">
        <v>0</v>
      </c>
      <c r="EU29" s="166">
        <v>38.72</v>
      </c>
      <c r="EV29" s="166">
        <v>1.58</v>
      </c>
      <c r="EW29" s="166">
        <v>8.64</v>
      </c>
      <c r="EX29" s="166">
        <v>3.28</v>
      </c>
      <c r="EY29" s="166">
        <v>14.7</v>
      </c>
      <c r="EZ29" s="166">
        <v>66.92</v>
      </c>
      <c r="FA29" s="166">
        <v>0</v>
      </c>
      <c r="FB29" s="166">
        <v>86.05</v>
      </c>
      <c r="FC29" s="166">
        <v>86.05</v>
      </c>
      <c r="FD29" s="166">
        <v>92.294444444444451</v>
      </c>
      <c r="FE29" s="166">
        <v>98.861111111111114</v>
      </c>
      <c r="FF29" s="166">
        <v>112.25555555555556</v>
      </c>
      <c r="FG29" s="166">
        <v>94.988888888888894</v>
      </c>
      <c r="FH29" s="166">
        <v>108.26666666666667</v>
      </c>
      <c r="FI29" s="166">
        <v>142.73333333333332</v>
      </c>
      <c r="FJ29" s="166">
        <v>119.46111111111111</v>
      </c>
      <c r="FK29" s="166">
        <v>155.36666666666667</v>
      </c>
      <c r="FL29" s="166">
        <v>121.75555555555556</v>
      </c>
      <c r="FM29" s="166">
        <v>148.44999999999999</v>
      </c>
      <c r="FN29" s="166">
        <v>151.83333333333334</v>
      </c>
      <c r="FO29" s="166">
        <v>121.00555555555556</v>
      </c>
      <c r="FP29" s="166">
        <v>649.4</v>
      </c>
      <c r="FQ29" s="166">
        <v>274.82777777777778</v>
      </c>
      <c r="FR29" s="166">
        <v>543.04444444444448</v>
      </c>
      <c r="FS29" s="166">
        <v>1010.2777777777778</v>
      </c>
      <c r="FT29" s="166">
        <v>1467.2722222222221</v>
      </c>
      <c r="FU29" s="166">
        <v>1553.3222222222221</v>
      </c>
      <c r="FV29" s="166">
        <v>157.16666666666666</v>
      </c>
      <c r="FW29" s="166">
        <v>17.772222222222222</v>
      </c>
      <c r="FX29" s="166">
        <v>174.93888888888887</v>
      </c>
      <c r="FY29" s="166">
        <v>1571.0944444444442</v>
      </c>
      <c r="FZ29" s="165">
        <v>0</v>
      </c>
      <c r="GA29" s="165">
        <v>92</v>
      </c>
      <c r="GB29" s="165">
        <v>92</v>
      </c>
      <c r="GC29" s="165">
        <v>86</v>
      </c>
      <c r="GD29" s="165">
        <v>92</v>
      </c>
      <c r="GE29" s="165">
        <v>97</v>
      </c>
      <c r="GF29" s="165">
        <v>116</v>
      </c>
      <c r="GG29" s="165">
        <v>95</v>
      </c>
      <c r="GH29" s="165">
        <v>109</v>
      </c>
      <c r="GI29" s="165">
        <v>139</v>
      </c>
      <c r="GJ29" s="165">
        <v>120</v>
      </c>
      <c r="GK29" s="165">
        <v>151</v>
      </c>
      <c r="GL29" s="165">
        <v>119</v>
      </c>
      <c r="GM29" s="165">
        <v>152</v>
      </c>
      <c r="GN29" s="165">
        <v>148</v>
      </c>
      <c r="GO29" s="165">
        <v>595</v>
      </c>
      <c r="GP29" s="165">
        <v>259</v>
      </c>
      <c r="GQ29" s="165">
        <v>570</v>
      </c>
      <c r="GR29" s="165">
        <v>946</v>
      </c>
      <c r="GS29" s="165">
        <v>1424</v>
      </c>
      <c r="GT29" s="165">
        <v>1516</v>
      </c>
      <c r="GU29" s="165">
        <v>0</v>
      </c>
      <c r="GV29" s="165">
        <v>258</v>
      </c>
      <c r="GW29" s="165">
        <v>166</v>
      </c>
      <c r="GX29" s="165">
        <v>18</v>
      </c>
      <c r="GY29" s="165">
        <v>184</v>
      </c>
      <c r="GZ29" s="165">
        <v>1534</v>
      </c>
      <c r="HA29" s="165">
        <v>116</v>
      </c>
      <c r="HB29" s="166">
        <v>108.24</v>
      </c>
      <c r="HC29" s="166">
        <v>101.49</v>
      </c>
      <c r="HD29" s="166">
        <v>38.981999999999999</v>
      </c>
      <c r="HE29" s="166">
        <v>43.727000000000004</v>
      </c>
      <c r="HF29" s="166"/>
      <c r="HG29" s="166">
        <v>110.74</v>
      </c>
      <c r="HH29" s="166">
        <v>15</v>
      </c>
      <c r="HI29" s="166">
        <v>191</v>
      </c>
      <c r="HJ29" s="166">
        <v>206</v>
      </c>
      <c r="HK29" s="166">
        <v>171</v>
      </c>
      <c r="HL29" s="166">
        <v>20</v>
      </c>
      <c r="HM29" s="166">
        <v>0</v>
      </c>
      <c r="HN29" s="166">
        <v>88</v>
      </c>
      <c r="HO29" s="166">
        <v>1362</v>
      </c>
      <c r="HP29" s="166">
        <v>0</v>
      </c>
      <c r="HQ29" s="166">
        <v>0</v>
      </c>
      <c r="HR29" s="166">
        <v>0</v>
      </c>
      <c r="HS29" s="166">
        <v>1450</v>
      </c>
      <c r="HT29" s="166">
        <f>FY26_FE_Data_April15[[#This Row],[Oct 1, 2026 (CDC) - K]]+FY26_FE_Data_April15[[#This Row],[Oct 1, 2026 (CDC) - Grades 1-6]]+FY26_FE_Data_April15[[#This Row],[Oct 1, 2026 (CDC) - Grades 7-8]]</f>
        <v>88</v>
      </c>
      <c r="HU29" s="166">
        <v>0</v>
      </c>
    </row>
    <row r="30" spans="1:229" ht="26">
      <c r="A30" s="158">
        <v>29</v>
      </c>
      <c r="B30" s="159" t="s">
        <v>339</v>
      </c>
      <c r="C30" s="160" t="s">
        <v>340</v>
      </c>
      <c r="D30" s="160" t="s">
        <v>87</v>
      </c>
      <c r="E30" s="159" t="s">
        <v>784</v>
      </c>
      <c r="F30" s="159" t="s">
        <v>784</v>
      </c>
      <c r="G30" s="159"/>
      <c r="H30" s="161">
        <v>19.783333333333335</v>
      </c>
      <c r="I30" s="161">
        <v>3.1</v>
      </c>
      <c r="J30" s="161">
        <v>22.883333333333336</v>
      </c>
      <c r="K30" s="162">
        <v>16</v>
      </c>
      <c r="L30" s="162">
        <v>93</v>
      </c>
      <c r="M30" s="162">
        <v>54</v>
      </c>
      <c r="N30" s="162">
        <v>91</v>
      </c>
      <c r="O30" s="162">
        <v>254</v>
      </c>
      <c r="P30" s="162">
        <v>238</v>
      </c>
      <c r="Q30" s="162">
        <v>163</v>
      </c>
      <c r="R30" s="162">
        <v>3</v>
      </c>
      <c r="S30" s="160">
        <v>16.205555555555556</v>
      </c>
      <c r="T30" s="160">
        <v>15.438888888888888</v>
      </c>
      <c r="U30" s="160">
        <v>13.361111111111111</v>
      </c>
      <c r="V30" s="160">
        <v>13.377777777777778</v>
      </c>
      <c r="W30" s="160">
        <v>17.95</v>
      </c>
      <c r="X30" s="160">
        <v>15.383333333333333</v>
      </c>
      <c r="Y30" s="160">
        <v>15.794444444444444</v>
      </c>
      <c r="Z30" s="160">
        <v>28.483333333333334</v>
      </c>
      <c r="AA30" s="160">
        <v>26.611111111111111</v>
      </c>
      <c r="AB30" s="160">
        <v>20.727777777777778</v>
      </c>
      <c r="AC30" s="160">
        <v>28.18888888888889</v>
      </c>
      <c r="AD30" s="160">
        <v>19.866666666666667</v>
      </c>
      <c r="AE30" s="160">
        <v>20.06111111111111</v>
      </c>
      <c r="AF30" s="160">
        <v>91.305555555555571</v>
      </c>
      <c r="AG30" s="160">
        <v>55.094444444444449</v>
      </c>
      <c r="AH30" s="160">
        <v>88.844444444444434</v>
      </c>
      <c r="AI30" s="160">
        <v>162.60555555555558</v>
      </c>
      <c r="AJ30" s="160">
        <v>235.24444444444447</v>
      </c>
      <c r="AK30" s="160">
        <v>251.45000000000005</v>
      </c>
      <c r="AL30" s="161">
        <v>22.461111111111112</v>
      </c>
      <c r="AM30" s="161">
        <v>2.3722222222222222</v>
      </c>
      <c r="AN30" s="161">
        <v>24.833333333333336</v>
      </c>
      <c r="AO30" s="161">
        <v>253.82222222222228</v>
      </c>
      <c r="AP30" s="162">
        <v>15</v>
      </c>
      <c r="AQ30" s="168">
        <v>17</v>
      </c>
      <c r="AR30" s="160">
        <v>16</v>
      </c>
      <c r="AS30" s="160">
        <v>16</v>
      </c>
      <c r="AT30" s="160">
        <v>12</v>
      </c>
      <c r="AU30" s="160">
        <v>18</v>
      </c>
      <c r="AV30" s="160">
        <v>21</v>
      </c>
      <c r="AW30" s="160">
        <v>17</v>
      </c>
      <c r="AX30" s="160">
        <v>30</v>
      </c>
      <c r="AY30" s="160">
        <v>30</v>
      </c>
      <c r="AZ30" s="160">
        <v>20</v>
      </c>
      <c r="BA30" s="160">
        <v>29</v>
      </c>
      <c r="BB30" s="160">
        <v>21</v>
      </c>
      <c r="BC30" s="160">
        <v>100</v>
      </c>
      <c r="BD30" s="160">
        <v>47</v>
      </c>
      <c r="BE30" s="160">
        <v>100</v>
      </c>
      <c r="BF30" s="160">
        <v>162</v>
      </c>
      <c r="BG30" s="160">
        <v>247</v>
      </c>
      <c r="BH30" s="160">
        <v>262</v>
      </c>
      <c r="BI30" s="160">
        <v>15</v>
      </c>
      <c r="BJ30" s="160">
        <v>0</v>
      </c>
      <c r="BK30" s="160">
        <v>0</v>
      </c>
      <c r="BL30" s="160">
        <v>101</v>
      </c>
      <c r="BM30" s="160">
        <v>35</v>
      </c>
      <c r="BN30" s="162">
        <v>4</v>
      </c>
      <c r="BO30" s="162">
        <v>39</v>
      </c>
      <c r="BP30" s="162">
        <v>0</v>
      </c>
      <c r="BQ30" s="163">
        <v>8.4019402202412163E-2</v>
      </c>
      <c r="BR30" s="164">
        <v>24.000000000000004</v>
      </c>
      <c r="BS30" s="164">
        <v>21.700000000000003</v>
      </c>
      <c r="BT30" s="164">
        <v>21.6</v>
      </c>
      <c r="BU30" s="164">
        <v>26</v>
      </c>
      <c r="BV30" s="165">
        <v>0</v>
      </c>
      <c r="BW30" s="165">
        <v>0</v>
      </c>
      <c r="BX30" s="166">
        <v>0</v>
      </c>
      <c r="BY30" s="166">
        <v>0</v>
      </c>
      <c r="BZ30" s="166">
        <v>14.95</v>
      </c>
      <c r="CA30" s="166">
        <v>14.95</v>
      </c>
      <c r="CB30" s="166">
        <v>16.899999999999999</v>
      </c>
      <c r="CC30" s="166">
        <v>15.85</v>
      </c>
      <c r="CD30" s="166">
        <v>15.888888888888889</v>
      </c>
      <c r="CE30" s="166">
        <v>12.622222222222222</v>
      </c>
      <c r="CF30" s="166">
        <v>17.211111111111112</v>
      </c>
      <c r="CG30" s="166">
        <v>20.305555555555557</v>
      </c>
      <c r="CH30" s="166">
        <v>16</v>
      </c>
      <c r="CI30" s="166">
        <v>29.138888888888889</v>
      </c>
      <c r="CJ30" s="166">
        <v>29.4</v>
      </c>
      <c r="CK30" s="166">
        <v>18.655555555555555</v>
      </c>
      <c r="CL30" s="166">
        <v>28.011111111111113</v>
      </c>
      <c r="CM30" s="166">
        <v>17.772222222222222</v>
      </c>
      <c r="CN30" s="166">
        <v>98.777777777777771</v>
      </c>
      <c r="CO30" s="166">
        <v>45.138888888888886</v>
      </c>
      <c r="CP30" s="166">
        <v>93.838888888888889</v>
      </c>
      <c r="CQ30" s="166">
        <v>158.86666666666665</v>
      </c>
      <c r="CR30" s="166">
        <v>237.75555555555556</v>
      </c>
      <c r="CS30" s="166">
        <v>252.70555555555555</v>
      </c>
      <c r="CT30" s="166">
        <v>33.622222222222199</v>
      </c>
      <c r="CU30" s="166">
        <v>3.0777777777777802</v>
      </c>
      <c r="CV30" s="166">
        <v>36.699999999999982</v>
      </c>
      <c r="CW30" s="166">
        <v>255.78333333333333</v>
      </c>
      <c r="CX30" s="166">
        <v>0</v>
      </c>
      <c r="CY30" s="166">
        <v>10</v>
      </c>
      <c r="CZ30" s="165">
        <v>0</v>
      </c>
      <c r="DA30" s="165">
        <v>10</v>
      </c>
      <c r="DB30" s="165">
        <v>16</v>
      </c>
      <c r="DC30" s="165">
        <v>18</v>
      </c>
      <c r="DD30" s="165">
        <v>16</v>
      </c>
      <c r="DE30" s="165">
        <v>16</v>
      </c>
      <c r="DF30" s="165">
        <v>13</v>
      </c>
      <c r="DG30" s="165">
        <v>22</v>
      </c>
      <c r="DH30" s="165">
        <v>28</v>
      </c>
      <c r="DI30" s="165">
        <v>17</v>
      </c>
      <c r="DJ30" s="165">
        <v>28</v>
      </c>
      <c r="DK30" s="165">
        <v>29</v>
      </c>
      <c r="DL30" s="165">
        <v>18</v>
      </c>
      <c r="DM30" s="165">
        <v>31</v>
      </c>
      <c r="DN30" s="165">
        <v>101</v>
      </c>
      <c r="DO30" s="165">
        <v>45</v>
      </c>
      <c r="DP30" s="165">
        <v>106</v>
      </c>
      <c r="DQ30" s="165">
        <v>156</v>
      </c>
      <c r="DR30" s="165">
        <v>252</v>
      </c>
      <c r="DS30" s="165">
        <v>262</v>
      </c>
      <c r="DT30" s="165">
        <v>0</v>
      </c>
      <c r="DU30" s="165">
        <v>98</v>
      </c>
      <c r="DV30" s="165">
        <v>34</v>
      </c>
      <c r="DW30" s="165">
        <v>2</v>
      </c>
      <c r="DX30" s="165">
        <v>36</v>
      </c>
      <c r="DY30" s="165">
        <v>264</v>
      </c>
      <c r="DZ30" s="165">
        <v>0</v>
      </c>
      <c r="EA30" s="166">
        <v>24.349999999999998</v>
      </c>
      <c r="EB30" s="166">
        <v>22.249999999999996</v>
      </c>
      <c r="EC30" s="166">
        <v>9.6</v>
      </c>
      <c r="ED30" s="166">
        <v>11.125</v>
      </c>
      <c r="EE30" s="166">
        <v>0.5</v>
      </c>
      <c r="EF30" s="166">
        <v>26.85</v>
      </c>
      <c r="EG30" s="167">
        <v>9.1904047976011927E-2</v>
      </c>
      <c r="EH30" s="165"/>
      <c r="EI30" s="165">
        <v>10</v>
      </c>
      <c r="EJ30" s="165">
        <v>257</v>
      </c>
      <c r="EK30" s="165"/>
      <c r="EL30" s="165"/>
      <c r="EM30" s="166"/>
      <c r="EN30" s="165">
        <v>267</v>
      </c>
      <c r="EO30" s="165">
        <v>1</v>
      </c>
      <c r="EP30" s="165">
        <v>37</v>
      </c>
      <c r="EQ30" s="165">
        <v>38</v>
      </c>
      <c r="ER30" s="165">
        <v>34</v>
      </c>
      <c r="ES30" s="165">
        <v>3</v>
      </c>
      <c r="ET30" s="165">
        <v>3</v>
      </c>
      <c r="EU30" s="166">
        <v>9.4659999999999993</v>
      </c>
      <c r="EV30" s="166">
        <v>0</v>
      </c>
      <c r="EW30" s="166">
        <v>3</v>
      </c>
      <c r="EX30" s="166">
        <v>0.90600000000000003</v>
      </c>
      <c r="EY30" s="166">
        <v>9.4359999999999999</v>
      </c>
      <c r="EZ30" s="166">
        <v>22.808</v>
      </c>
      <c r="FA30" s="166">
        <v>0</v>
      </c>
      <c r="FB30" s="166">
        <v>9.8166666666666664</v>
      </c>
      <c r="FC30" s="166">
        <v>9.8166666666666664</v>
      </c>
      <c r="FD30" s="166">
        <v>17.222222222222221</v>
      </c>
      <c r="FE30" s="166">
        <v>17.93888888888889</v>
      </c>
      <c r="FF30" s="166">
        <v>16.538888888888888</v>
      </c>
      <c r="FG30" s="166">
        <v>15.972222222222221</v>
      </c>
      <c r="FH30" s="166">
        <v>13.53888888888889</v>
      </c>
      <c r="FI30" s="166">
        <v>21.955555555555556</v>
      </c>
      <c r="FJ30" s="166">
        <v>27.283333333333335</v>
      </c>
      <c r="FK30" s="166">
        <v>17</v>
      </c>
      <c r="FL30" s="166">
        <v>26.9</v>
      </c>
      <c r="FM30" s="166">
        <v>27.5</v>
      </c>
      <c r="FN30" s="166">
        <v>18.172222222222221</v>
      </c>
      <c r="FO30" s="166">
        <v>27.444444444444443</v>
      </c>
      <c r="FP30" s="166">
        <v>103.16666666666666</v>
      </c>
      <c r="FQ30" s="166">
        <v>44.283333333333331</v>
      </c>
      <c r="FR30" s="166">
        <v>100.01666666666667</v>
      </c>
      <c r="FS30" s="166">
        <v>157.26666666666665</v>
      </c>
      <c r="FT30" s="166">
        <v>247.46666666666664</v>
      </c>
      <c r="FU30" s="166">
        <v>257.2833333333333</v>
      </c>
      <c r="FV30" s="166">
        <v>28.922222222222221</v>
      </c>
      <c r="FW30" s="166">
        <v>3.0055555555555555</v>
      </c>
      <c r="FX30" s="166">
        <v>31.927777777777777</v>
      </c>
      <c r="FY30" s="166">
        <v>260.28888888888883</v>
      </c>
      <c r="FZ30" s="165">
        <v>0</v>
      </c>
      <c r="GA30" s="165">
        <v>10</v>
      </c>
      <c r="GB30" s="165">
        <v>10</v>
      </c>
      <c r="GC30" s="165">
        <v>11</v>
      </c>
      <c r="GD30" s="165">
        <v>17</v>
      </c>
      <c r="GE30" s="165">
        <v>17</v>
      </c>
      <c r="GF30" s="165">
        <v>17</v>
      </c>
      <c r="GG30" s="165">
        <v>14</v>
      </c>
      <c r="GH30" s="165">
        <v>20</v>
      </c>
      <c r="GI30" s="165">
        <v>24</v>
      </c>
      <c r="GJ30" s="165">
        <v>29</v>
      </c>
      <c r="GK30" s="165">
        <v>17</v>
      </c>
      <c r="GL30" s="165">
        <v>27</v>
      </c>
      <c r="GM30" s="165">
        <v>29</v>
      </c>
      <c r="GN30" s="165">
        <v>18</v>
      </c>
      <c r="GO30" s="165">
        <v>96</v>
      </c>
      <c r="GP30" s="165">
        <v>53</v>
      </c>
      <c r="GQ30" s="165">
        <v>91</v>
      </c>
      <c r="GR30" s="165">
        <v>159</v>
      </c>
      <c r="GS30" s="165">
        <v>240</v>
      </c>
      <c r="GT30" s="165">
        <v>250</v>
      </c>
      <c r="GU30" s="165">
        <v>1</v>
      </c>
      <c r="GV30" s="165">
        <v>91</v>
      </c>
      <c r="GW30" s="165">
        <v>31</v>
      </c>
      <c r="GX30" s="165">
        <v>3</v>
      </c>
      <c r="GY30" s="165">
        <v>34</v>
      </c>
      <c r="GZ30" s="165">
        <v>253</v>
      </c>
      <c r="HA30" s="165">
        <v>0</v>
      </c>
      <c r="HB30" s="166">
        <v>25.349999999999998</v>
      </c>
      <c r="HC30" s="166">
        <v>23.249999999999996</v>
      </c>
      <c r="HD30" s="166">
        <v>10.7</v>
      </c>
      <c r="HE30" s="166">
        <v>11.424999999999999</v>
      </c>
      <c r="HF30" s="166"/>
      <c r="HG30" s="166">
        <v>26.85</v>
      </c>
      <c r="HH30" s="166">
        <v>5</v>
      </c>
      <c r="HI30" s="166">
        <v>38</v>
      </c>
      <c r="HJ30" s="166">
        <v>43</v>
      </c>
      <c r="HK30" s="166">
        <v>36</v>
      </c>
      <c r="HL30" s="166">
        <v>2</v>
      </c>
      <c r="HM30" s="166">
        <v>0</v>
      </c>
      <c r="HN30" s="166">
        <v>10</v>
      </c>
      <c r="HO30" s="166">
        <v>235</v>
      </c>
      <c r="HP30" s="166">
        <v>0</v>
      </c>
      <c r="HQ30" s="166">
        <v>0</v>
      </c>
      <c r="HR30" s="166">
        <v>0</v>
      </c>
      <c r="HS30" s="166">
        <v>245</v>
      </c>
      <c r="HT30" s="166">
        <f>FY26_FE_Data_April15[[#This Row],[Oct 1, 2026 (CDC) - K]]+FY26_FE_Data_April15[[#This Row],[Oct 1, 2026 (CDC) - Grades 1-6]]+FY26_FE_Data_April15[[#This Row],[Oct 1, 2026 (CDC) - Grades 7-8]]</f>
        <v>10</v>
      </c>
      <c r="HU30" s="166">
        <v>0</v>
      </c>
    </row>
    <row r="31" spans="1:229" ht="26">
      <c r="A31" s="158">
        <v>30</v>
      </c>
      <c r="B31" s="159" t="s">
        <v>341</v>
      </c>
      <c r="C31" s="160" t="s">
        <v>342</v>
      </c>
      <c r="D31" s="160" t="s">
        <v>87</v>
      </c>
      <c r="E31" s="159" t="s">
        <v>784</v>
      </c>
      <c r="F31" s="159" t="s">
        <v>784</v>
      </c>
      <c r="G31" s="159"/>
      <c r="H31" s="161">
        <v>2091.2333333333331</v>
      </c>
      <c r="I31" s="161">
        <v>232.64444444444445</v>
      </c>
      <c r="J31" s="161">
        <v>2323.8777777777777</v>
      </c>
      <c r="K31" s="162">
        <v>1552</v>
      </c>
      <c r="L31" s="162">
        <v>11260</v>
      </c>
      <c r="M31" s="162">
        <v>3619</v>
      </c>
      <c r="N31" s="162">
        <v>7397</v>
      </c>
      <c r="O31" s="162">
        <v>23828</v>
      </c>
      <c r="P31" s="162">
        <v>22276</v>
      </c>
      <c r="Q31" s="162">
        <v>16431</v>
      </c>
      <c r="R31" s="162">
        <v>167</v>
      </c>
      <c r="S31" s="160">
        <v>1539.8722222222223</v>
      </c>
      <c r="T31" s="160">
        <v>1817.0333333333333</v>
      </c>
      <c r="U31" s="160">
        <v>1799.7166666666667</v>
      </c>
      <c r="V31" s="160">
        <v>1885.95</v>
      </c>
      <c r="W31" s="160">
        <v>1899.85</v>
      </c>
      <c r="X31" s="160">
        <v>1879.7666666666667</v>
      </c>
      <c r="Y31" s="160">
        <v>1854.2111111111112</v>
      </c>
      <c r="Z31" s="160">
        <v>1773.0277777777778</v>
      </c>
      <c r="AA31" s="160">
        <v>1783.8333333333333</v>
      </c>
      <c r="AB31" s="160">
        <v>2016.5166666666667</v>
      </c>
      <c r="AC31" s="160">
        <v>1877.2388888888888</v>
      </c>
      <c r="AD31" s="160">
        <v>1752.3111111111111</v>
      </c>
      <c r="AE31" s="160">
        <v>1456.4833333333333</v>
      </c>
      <c r="AF31" s="160">
        <v>11136.527777777777</v>
      </c>
      <c r="AG31" s="160">
        <v>3556.8611111111113</v>
      </c>
      <c r="AH31" s="160">
        <v>7102.55</v>
      </c>
      <c r="AI31" s="160">
        <v>16233.261111111111</v>
      </c>
      <c r="AJ31" s="160">
        <v>21795.93888888889</v>
      </c>
      <c r="AK31" s="160">
        <v>23335.81111111111</v>
      </c>
      <c r="AL31" s="161">
        <v>2157.4722222222222</v>
      </c>
      <c r="AM31" s="161">
        <v>237.97222222222223</v>
      </c>
      <c r="AN31" s="161">
        <v>2395.4444444444443</v>
      </c>
      <c r="AO31" s="161">
        <v>23573.783333333333</v>
      </c>
      <c r="AP31" s="162">
        <v>967</v>
      </c>
      <c r="AQ31" s="168">
        <v>977</v>
      </c>
      <c r="AR31" s="160">
        <v>1083</v>
      </c>
      <c r="AS31" s="160">
        <v>1103</v>
      </c>
      <c r="AT31" s="160">
        <v>1138</v>
      </c>
      <c r="AU31" s="160">
        <v>1158</v>
      </c>
      <c r="AV31" s="160">
        <v>1086</v>
      </c>
      <c r="AW31" s="160">
        <v>1165</v>
      </c>
      <c r="AX31" s="160">
        <v>1138</v>
      </c>
      <c r="AY31" s="160">
        <v>1480</v>
      </c>
      <c r="AZ31" s="160">
        <v>1508</v>
      </c>
      <c r="BA31" s="160">
        <v>1469</v>
      </c>
      <c r="BB31" s="160">
        <v>1316</v>
      </c>
      <c r="BC31" s="160">
        <v>6545</v>
      </c>
      <c r="BD31" s="160">
        <v>2303</v>
      </c>
      <c r="BE31" s="160">
        <v>5773</v>
      </c>
      <c r="BF31" s="160">
        <v>9815</v>
      </c>
      <c r="BG31" s="160">
        <v>14621</v>
      </c>
      <c r="BH31" s="160">
        <v>15588</v>
      </c>
      <c r="BI31" s="160">
        <v>845</v>
      </c>
      <c r="BJ31" s="160">
        <v>122</v>
      </c>
      <c r="BK31" s="160">
        <v>16</v>
      </c>
      <c r="BL31" s="160">
        <v>4720</v>
      </c>
      <c r="BM31" s="160">
        <v>1997</v>
      </c>
      <c r="BN31" s="162">
        <v>241</v>
      </c>
      <c r="BO31" s="162">
        <v>2238</v>
      </c>
      <c r="BP31" s="162">
        <v>1223</v>
      </c>
      <c r="BQ31" s="163">
        <v>8.7874472544549109E-2</v>
      </c>
      <c r="BR31" s="164">
        <v>959.0740000000003</v>
      </c>
      <c r="BS31" s="164">
        <v>910.44900000000018</v>
      </c>
      <c r="BT31" s="164">
        <v>863.70100000000014</v>
      </c>
      <c r="BU31" s="164">
        <v>940.67399999999975</v>
      </c>
      <c r="BV31" s="165">
        <v>0</v>
      </c>
      <c r="BW31" s="165">
        <v>87</v>
      </c>
      <c r="BX31" s="166">
        <v>8236.4</v>
      </c>
      <c r="BY31" s="166">
        <v>119.488888</v>
      </c>
      <c r="BZ31" s="166">
        <v>834.15555500000005</v>
      </c>
      <c r="CA31" s="166">
        <v>953.64444444444439</v>
      </c>
      <c r="CB31" s="166">
        <v>968.39444444444439</v>
      </c>
      <c r="CC31" s="166">
        <v>1074.1111111111111</v>
      </c>
      <c r="CD31" s="166">
        <v>1095.1111111111111</v>
      </c>
      <c r="CE31" s="166">
        <v>1117.2944444444445</v>
      </c>
      <c r="CF31" s="166">
        <v>1157.0111111111112</v>
      </c>
      <c r="CG31" s="166">
        <v>1061.6888888888889</v>
      </c>
      <c r="CH31" s="166">
        <v>1133.9222222222222</v>
      </c>
      <c r="CI31" s="166">
        <v>1105.7833333333333</v>
      </c>
      <c r="CJ31" s="166">
        <v>1428.9277777777777</v>
      </c>
      <c r="CK31" s="166">
        <v>1454.3833333333334</v>
      </c>
      <c r="CL31" s="166">
        <v>1405.8333333333333</v>
      </c>
      <c r="CM31" s="166">
        <v>1209.1722222222222</v>
      </c>
      <c r="CN31" s="166">
        <v>6473.6111111111113</v>
      </c>
      <c r="CO31" s="166">
        <v>2239.7055555555553</v>
      </c>
      <c r="CP31" s="166">
        <v>5498.3166666666666</v>
      </c>
      <c r="CQ31" s="166">
        <v>9666.9611111111099</v>
      </c>
      <c r="CR31" s="166">
        <v>14211.633333333333</v>
      </c>
      <c r="CS31" s="166">
        <v>15165.277777777776</v>
      </c>
      <c r="CT31" s="166">
        <v>1982.44444444444</v>
      </c>
      <c r="CU31" s="166">
        <v>260.694444444444</v>
      </c>
      <c r="CV31" s="166">
        <v>2243.1388888888841</v>
      </c>
      <c r="CW31" s="166">
        <v>15425.972222222219</v>
      </c>
      <c r="CX31" s="166">
        <v>423.50555500000002</v>
      </c>
      <c r="CY31" s="166">
        <v>887</v>
      </c>
      <c r="CZ31" s="165">
        <v>71</v>
      </c>
      <c r="DA31" s="165">
        <v>958</v>
      </c>
      <c r="DB31" s="165">
        <v>999</v>
      </c>
      <c r="DC31" s="165">
        <v>1008</v>
      </c>
      <c r="DD31" s="165">
        <v>1128</v>
      </c>
      <c r="DE31" s="165">
        <v>1137</v>
      </c>
      <c r="DF31" s="165">
        <v>1158</v>
      </c>
      <c r="DG31" s="165">
        <v>1199</v>
      </c>
      <c r="DH31" s="165">
        <v>1110</v>
      </c>
      <c r="DI31" s="165">
        <v>1151</v>
      </c>
      <c r="DJ31" s="165">
        <v>1439</v>
      </c>
      <c r="DK31" s="165">
        <v>1465</v>
      </c>
      <c r="DL31" s="165">
        <v>1469</v>
      </c>
      <c r="DM31" s="165">
        <v>1398</v>
      </c>
      <c r="DN31" s="165">
        <v>6629</v>
      </c>
      <c r="DO31" s="165">
        <v>2261</v>
      </c>
      <c r="DP31" s="165">
        <v>5771</v>
      </c>
      <c r="DQ31" s="165">
        <v>9848</v>
      </c>
      <c r="DR31" s="165">
        <v>14661</v>
      </c>
      <c r="DS31" s="165">
        <v>15619</v>
      </c>
      <c r="DT31" s="165">
        <v>20</v>
      </c>
      <c r="DU31" s="165">
        <v>3886</v>
      </c>
      <c r="DV31" s="165">
        <v>1997</v>
      </c>
      <c r="DW31" s="165">
        <v>292</v>
      </c>
      <c r="DX31" s="165">
        <v>2289</v>
      </c>
      <c r="DY31" s="165">
        <v>15911</v>
      </c>
      <c r="DZ31" s="165">
        <v>1218</v>
      </c>
      <c r="EA31" s="166">
        <v>945.06200000000013</v>
      </c>
      <c r="EB31" s="166">
        <v>897.73700000000008</v>
      </c>
      <c r="EC31" s="166">
        <v>398.81799999999993</v>
      </c>
      <c r="ED31" s="166">
        <v>375.1689999999997</v>
      </c>
      <c r="EE31" s="166">
        <v>3</v>
      </c>
      <c r="EF31" s="166">
        <v>962.43200000000013</v>
      </c>
      <c r="EG31" s="167">
        <v>8.6610900850361661E-2</v>
      </c>
      <c r="EH31" s="165"/>
      <c r="EI31" s="165">
        <v>971</v>
      </c>
      <c r="EJ31" s="165">
        <v>14856</v>
      </c>
      <c r="EK31" s="165"/>
      <c r="EL31" s="165"/>
      <c r="EM31" s="166"/>
      <c r="EN31" s="165">
        <v>15827</v>
      </c>
      <c r="EO31" s="165">
        <v>173</v>
      </c>
      <c r="EP31" s="165">
        <v>2292</v>
      </c>
      <c r="EQ31" s="165">
        <v>2465</v>
      </c>
      <c r="ER31" s="165">
        <v>1998</v>
      </c>
      <c r="ES31" s="165">
        <v>294</v>
      </c>
      <c r="ET31" s="165">
        <v>466</v>
      </c>
      <c r="EU31" s="166">
        <v>291.351</v>
      </c>
      <c r="EV31" s="166">
        <v>20.315000000000001</v>
      </c>
      <c r="EW31" s="166">
        <v>71.674999999999997</v>
      </c>
      <c r="EX31" s="166">
        <v>25.1</v>
      </c>
      <c r="EY31" s="166">
        <v>291.26</v>
      </c>
      <c r="EZ31" s="166">
        <v>699.70100000000002</v>
      </c>
      <c r="FA31" s="166">
        <v>70.761111111111106</v>
      </c>
      <c r="FB31" s="166">
        <v>873.80555555555554</v>
      </c>
      <c r="FC31" s="166">
        <v>944.56666666666672</v>
      </c>
      <c r="FD31" s="166">
        <v>969.48333333333335</v>
      </c>
      <c r="FE31" s="166">
        <v>996.5333333333333</v>
      </c>
      <c r="FF31" s="166">
        <v>1107.7333333333333</v>
      </c>
      <c r="FG31" s="166">
        <v>1116.0944444444444</v>
      </c>
      <c r="FH31" s="166">
        <v>1138.6666666666667</v>
      </c>
      <c r="FI31" s="166">
        <v>1188.0611111111111</v>
      </c>
      <c r="FJ31" s="166">
        <v>1075.6944444444443</v>
      </c>
      <c r="FK31" s="166">
        <v>1135.9666666666667</v>
      </c>
      <c r="FL31" s="166">
        <v>1393.338888888889</v>
      </c>
      <c r="FM31" s="166">
        <v>1408.25</v>
      </c>
      <c r="FN31" s="166">
        <v>1411.6944444444443</v>
      </c>
      <c r="FO31" s="166">
        <v>1275.7055555555555</v>
      </c>
      <c r="FP31" s="166">
        <v>6516.572222222223</v>
      </c>
      <c r="FQ31" s="166">
        <v>2211.661111111111</v>
      </c>
      <c r="FR31" s="166">
        <v>5488.9888888888881</v>
      </c>
      <c r="FS31" s="166">
        <v>9672.7999999999993</v>
      </c>
      <c r="FT31" s="166">
        <v>14217.222222222223</v>
      </c>
      <c r="FU31" s="166">
        <v>15161.788888888888</v>
      </c>
      <c r="FV31" s="166">
        <v>2004.4166666666667</v>
      </c>
      <c r="FW31" s="166">
        <v>300.94444444444446</v>
      </c>
      <c r="FX31" s="166">
        <v>2305.3611111111113</v>
      </c>
      <c r="FY31" s="166">
        <v>15462.733333333334</v>
      </c>
      <c r="FZ31" s="165">
        <v>52</v>
      </c>
      <c r="GA31" s="165">
        <v>859</v>
      </c>
      <c r="GB31" s="165">
        <v>911</v>
      </c>
      <c r="GC31" s="165">
        <v>1026</v>
      </c>
      <c r="GD31" s="165">
        <v>1027</v>
      </c>
      <c r="GE31" s="165">
        <v>1053</v>
      </c>
      <c r="GF31" s="165">
        <v>1144</v>
      </c>
      <c r="GG31" s="165">
        <v>1163</v>
      </c>
      <c r="GH31" s="165">
        <v>1176</v>
      </c>
      <c r="GI31" s="165">
        <v>1238</v>
      </c>
      <c r="GJ31" s="165">
        <v>1173</v>
      </c>
      <c r="GK31" s="165">
        <v>1495</v>
      </c>
      <c r="GL31" s="165">
        <v>1456</v>
      </c>
      <c r="GM31" s="165">
        <v>1432</v>
      </c>
      <c r="GN31" s="165">
        <v>1443</v>
      </c>
      <c r="GO31" s="165">
        <v>6589</v>
      </c>
      <c r="GP31" s="165">
        <v>2411</v>
      </c>
      <c r="GQ31" s="165">
        <v>5826</v>
      </c>
      <c r="GR31" s="165">
        <v>9911</v>
      </c>
      <c r="GS31" s="165">
        <v>14826</v>
      </c>
      <c r="GT31" s="165">
        <v>15737</v>
      </c>
      <c r="GU31" s="165">
        <v>15</v>
      </c>
      <c r="GV31" s="165">
        <v>4072</v>
      </c>
      <c r="GW31" s="165">
        <v>2096</v>
      </c>
      <c r="GX31" s="165">
        <v>285</v>
      </c>
      <c r="GY31" s="165">
        <v>2381</v>
      </c>
      <c r="GZ31" s="165">
        <v>16022</v>
      </c>
      <c r="HA31" s="165">
        <v>1169</v>
      </c>
      <c r="HB31" s="166">
        <v>943.49299999999971</v>
      </c>
      <c r="HC31" s="166">
        <v>893.72399999999982</v>
      </c>
      <c r="HD31" s="166">
        <v>386.39299999999992</v>
      </c>
      <c r="HE31" s="166">
        <v>381.50499999999954</v>
      </c>
      <c r="HF31" s="166"/>
      <c r="HG31" s="166">
        <v>958.47299999999996</v>
      </c>
      <c r="HH31" s="166">
        <v>154</v>
      </c>
      <c r="HI31" s="166">
        <v>2387</v>
      </c>
      <c r="HJ31" s="166">
        <v>2541</v>
      </c>
      <c r="HK31" s="166">
        <v>2109</v>
      </c>
      <c r="HL31" s="166">
        <v>278</v>
      </c>
      <c r="HM31" s="166">
        <v>200</v>
      </c>
      <c r="HN31" s="166">
        <v>897</v>
      </c>
      <c r="HO31" s="166">
        <v>14603</v>
      </c>
      <c r="HP31" s="166">
        <v>0</v>
      </c>
      <c r="HQ31" s="166">
        <v>0</v>
      </c>
      <c r="HR31" s="166">
        <v>0</v>
      </c>
      <c r="HS31" s="166">
        <v>15500</v>
      </c>
      <c r="HT31" s="166">
        <f>FY26_FE_Data_April15[[#This Row],[Oct 1, 2026 (CDC) - K]]+FY26_FE_Data_April15[[#This Row],[Oct 1, 2026 (CDC) - Grades 1-6]]+FY26_FE_Data_April15[[#This Row],[Oct 1, 2026 (CDC) - Grades 7-8]]</f>
        <v>897</v>
      </c>
      <c r="HU31" s="166">
        <v>439.48333300000002</v>
      </c>
    </row>
    <row r="32" spans="1:229" ht="26">
      <c r="A32" s="158">
        <v>31</v>
      </c>
      <c r="B32" s="159" t="s">
        <v>343</v>
      </c>
      <c r="C32" s="160" t="s">
        <v>344</v>
      </c>
      <c r="D32" s="160" t="s">
        <v>87</v>
      </c>
      <c r="E32" s="159" t="s">
        <v>784</v>
      </c>
      <c r="F32" s="159" t="s">
        <v>784</v>
      </c>
      <c r="G32" s="159"/>
      <c r="H32" s="161">
        <v>756.28888888888889</v>
      </c>
      <c r="I32" s="161">
        <v>138.1</v>
      </c>
      <c r="J32" s="161">
        <v>894.38888888888891</v>
      </c>
      <c r="K32" s="162">
        <v>493</v>
      </c>
      <c r="L32" s="162">
        <v>3130</v>
      </c>
      <c r="M32" s="162">
        <v>1105</v>
      </c>
      <c r="N32" s="162">
        <v>2101</v>
      </c>
      <c r="O32" s="162">
        <v>6829</v>
      </c>
      <c r="P32" s="162">
        <v>6336</v>
      </c>
      <c r="Q32" s="162">
        <v>4728</v>
      </c>
      <c r="R32" s="162">
        <v>159</v>
      </c>
      <c r="S32" s="160">
        <v>465.51666666666665</v>
      </c>
      <c r="T32" s="160">
        <v>506.67777777777781</v>
      </c>
      <c r="U32" s="160">
        <v>496.61666666666667</v>
      </c>
      <c r="V32" s="160">
        <v>502.91666666666669</v>
      </c>
      <c r="W32" s="160">
        <v>526.02777777777783</v>
      </c>
      <c r="X32" s="160">
        <v>487.55555555555554</v>
      </c>
      <c r="Y32" s="160">
        <v>527.98333333333335</v>
      </c>
      <c r="Z32" s="160">
        <v>513.9666666666667</v>
      </c>
      <c r="AA32" s="160">
        <v>551.76666666666665</v>
      </c>
      <c r="AB32" s="160">
        <v>545.62222222222226</v>
      </c>
      <c r="AC32" s="160">
        <v>515.03888888888889</v>
      </c>
      <c r="AD32" s="160">
        <v>514.73888888888894</v>
      </c>
      <c r="AE32" s="160">
        <v>333.63888888888891</v>
      </c>
      <c r="AF32" s="160">
        <v>3047.7777777777783</v>
      </c>
      <c r="AG32" s="160">
        <v>1065.7333333333333</v>
      </c>
      <c r="AH32" s="160">
        <v>1909.038888888889</v>
      </c>
      <c r="AI32" s="160">
        <v>4579.0277777777783</v>
      </c>
      <c r="AJ32" s="160">
        <v>6022.5500000000011</v>
      </c>
      <c r="AK32" s="160">
        <v>6488.0666666666675</v>
      </c>
      <c r="AL32" s="161">
        <v>764.02222222222224</v>
      </c>
      <c r="AM32" s="161">
        <v>169.9388888888889</v>
      </c>
      <c r="AN32" s="161">
        <v>933.96111111111111</v>
      </c>
      <c r="AO32" s="161">
        <v>6658.0055555555564</v>
      </c>
      <c r="AP32" s="162">
        <v>487</v>
      </c>
      <c r="AQ32" s="168">
        <v>475</v>
      </c>
      <c r="AR32" s="160">
        <v>517</v>
      </c>
      <c r="AS32" s="160">
        <v>513</v>
      </c>
      <c r="AT32" s="160">
        <v>505</v>
      </c>
      <c r="AU32" s="160">
        <v>540</v>
      </c>
      <c r="AV32" s="160">
        <v>493</v>
      </c>
      <c r="AW32" s="160">
        <v>525</v>
      </c>
      <c r="AX32" s="160">
        <v>533</v>
      </c>
      <c r="AY32" s="160">
        <v>569</v>
      </c>
      <c r="AZ32" s="160">
        <v>569</v>
      </c>
      <c r="BA32" s="160">
        <v>517</v>
      </c>
      <c r="BB32" s="160">
        <v>506</v>
      </c>
      <c r="BC32" s="160">
        <v>3043</v>
      </c>
      <c r="BD32" s="160">
        <v>1058</v>
      </c>
      <c r="BE32" s="160">
        <v>2161</v>
      </c>
      <c r="BF32" s="160">
        <v>4588</v>
      </c>
      <c r="BG32" s="160">
        <v>6262</v>
      </c>
      <c r="BH32" s="160">
        <v>6749</v>
      </c>
      <c r="BI32" s="160">
        <v>437</v>
      </c>
      <c r="BJ32" s="160">
        <v>50</v>
      </c>
      <c r="BK32" s="160">
        <v>6</v>
      </c>
      <c r="BL32" s="160">
        <v>2796</v>
      </c>
      <c r="BM32" s="160">
        <v>787</v>
      </c>
      <c r="BN32" s="162">
        <v>165</v>
      </c>
      <c r="BO32" s="162">
        <v>952</v>
      </c>
      <c r="BP32" s="162">
        <v>215</v>
      </c>
      <c r="BQ32" s="163">
        <v>8.0887642587273212E-2</v>
      </c>
      <c r="BR32" s="164">
        <v>363.47900000000004</v>
      </c>
      <c r="BS32" s="164">
        <v>347.47900000000004</v>
      </c>
      <c r="BT32" s="164">
        <v>312.02400000000006</v>
      </c>
      <c r="BU32" s="164">
        <v>347.80900000000003</v>
      </c>
      <c r="BV32" s="165">
        <v>190</v>
      </c>
      <c r="BW32" s="165">
        <v>15</v>
      </c>
      <c r="BX32" s="166">
        <v>192.78888799999999</v>
      </c>
      <c r="BY32" s="166">
        <v>21.261111</v>
      </c>
      <c r="BZ32" s="166">
        <v>440.03888799999999</v>
      </c>
      <c r="CA32" s="166">
        <v>461.3</v>
      </c>
      <c r="CB32" s="166">
        <v>457.27777777777777</v>
      </c>
      <c r="CC32" s="166">
        <v>501.27222222222224</v>
      </c>
      <c r="CD32" s="166">
        <v>491.05</v>
      </c>
      <c r="CE32" s="166">
        <v>495.86666666666667</v>
      </c>
      <c r="CF32" s="166">
        <v>520.13333333333333</v>
      </c>
      <c r="CG32" s="166">
        <v>471.43333333333334</v>
      </c>
      <c r="CH32" s="166">
        <v>510.6611111111111</v>
      </c>
      <c r="CI32" s="166">
        <v>501.96666666666664</v>
      </c>
      <c r="CJ32" s="166">
        <v>540.62222222222226</v>
      </c>
      <c r="CK32" s="166">
        <v>544.31111111111113</v>
      </c>
      <c r="CL32" s="166">
        <v>482.4</v>
      </c>
      <c r="CM32" s="166">
        <v>384.86666666666667</v>
      </c>
      <c r="CN32" s="166">
        <v>2937.0333333333333</v>
      </c>
      <c r="CO32" s="166">
        <v>1012.6277777777777</v>
      </c>
      <c r="CP32" s="166">
        <v>1952.2000000000003</v>
      </c>
      <c r="CQ32" s="166">
        <v>4410.9611111111108</v>
      </c>
      <c r="CR32" s="166">
        <v>5901.8611111111104</v>
      </c>
      <c r="CS32" s="166">
        <v>6363.1611111111106</v>
      </c>
      <c r="CT32" s="166">
        <v>787.33333333333303</v>
      </c>
      <c r="CU32" s="166">
        <v>160.07777777777801</v>
      </c>
      <c r="CV32" s="166">
        <v>947.41111111111104</v>
      </c>
      <c r="CW32" s="166">
        <v>6523.2388888888891</v>
      </c>
      <c r="CX32" s="166">
        <v>182.86111099999999</v>
      </c>
      <c r="CY32" s="166">
        <v>392</v>
      </c>
      <c r="CZ32" s="165">
        <v>26</v>
      </c>
      <c r="DA32" s="165">
        <v>418</v>
      </c>
      <c r="DB32" s="165">
        <v>450</v>
      </c>
      <c r="DC32" s="165">
        <v>444</v>
      </c>
      <c r="DD32" s="165">
        <v>502</v>
      </c>
      <c r="DE32" s="165">
        <v>487</v>
      </c>
      <c r="DF32" s="165">
        <v>510</v>
      </c>
      <c r="DG32" s="165">
        <v>526</v>
      </c>
      <c r="DH32" s="165">
        <v>495</v>
      </c>
      <c r="DI32" s="165">
        <v>522</v>
      </c>
      <c r="DJ32" s="165">
        <v>543</v>
      </c>
      <c r="DK32" s="165">
        <v>562</v>
      </c>
      <c r="DL32" s="165">
        <v>553</v>
      </c>
      <c r="DM32" s="165">
        <v>474</v>
      </c>
      <c r="DN32" s="165">
        <v>2919</v>
      </c>
      <c r="DO32" s="165">
        <v>1017</v>
      </c>
      <c r="DP32" s="165">
        <v>2132</v>
      </c>
      <c r="DQ32" s="165">
        <v>4354</v>
      </c>
      <c r="DR32" s="165">
        <v>6068</v>
      </c>
      <c r="DS32" s="165">
        <v>6486</v>
      </c>
      <c r="DT32" s="165">
        <v>9</v>
      </c>
      <c r="DU32" s="165">
        <v>2485</v>
      </c>
      <c r="DV32" s="165">
        <v>836</v>
      </c>
      <c r="DW32" s="165">
        <v>158</v>
      </c>
      <c r="DX32" s="165">
        <v>994</v>
      </c>
      <c r="DY32" s="165">
        <v>6644</v>
      </c>
      <c r="DZ32" s="165">
        <v>202</v>
      </c>
      <c r="EA32" s="166">
        <v>354.375</v>
      </c>
      <c r="EB32" s="166">
        <v>337.375</v>
      </c>
      <c r="EC32" s="166">
        <v>156.78000000000003</v>
      </c>
      <c r="ED32" s="166">
        <v>126.42000000000003</v>
      </c>
      <c r="EE32" s="166">
        <v>0</v>
      </c>
      <c r="EF32" s="166">
        <v>361.375</v>
      </c>
      <c r="EG32" s="167">
        <v>8.1004664285525885E-2</v>
      </c>
      <c r="EH32" s="165"/>
      <c r="EI32" s="165">
        <v>404</v>
      </c>
      <c r="EJ32" s="165">
        <v>5872</v>
      </c>
      <c r="EK32" s="165"/>
      <c r="EL32" s="165"/>
      <c r="EM32" s="166"/>
      <c r="EN32" s="165">
        <v>6276</v>
      </c>
      <c r="EO32" s="165">
        <v>136</v>
      </c>
      <c r="EP32" s="165">
        <v>976</v>
      </c>
      <c r="EQ32" s="165">
        <v>1112</v>
      </c>
      <c r="ER32" s="165">
        <v>820</v>
      </c>
      <c r="ES32" s="165">
        <v>156</v>
      </c>
      <c r="ET32" s="165">
        <v>63</v>
      </c>
      <c r="EU32" s="166">
        <v>154.92500000000001</v>
      </c>
      <c r="EV32" s="166">
        <v>10</v>
      </c>
      <c r="EW32" s="166">
        <v>35.225000000000001</v>
      </c>
      <c r="EX32" s="166">
        <v>34.731999999999999</v>
      </c>
      <c r="EY32" s="166">
        <v>137.05199999999999</v>
      </c>
      <c r="EZ32" s="166">
        <v>371.93399999999997</v>
      </c>
      <c r="FA32" s="166">
        <v>10.488888888888889</v>
      </c>
      <c r="FB32" s="166">
        <v>394.98888888888888</v>
      </c>
      <c r="FC32" s="166">
        <v>405.47777777777776</v>
      </c>
      <c r="FD32" s="166">
        <v>437.38333333333333</v>
      </c>
      <c r="FE32" s="166">
        <v>428.80555555555554</v>
      </c>
      <c r="FF32" s="166">
        <v>480.83333333333331</v>
      </c>
      <c r="FG32" s="166">
        <v>469.45</v>
      </c>
      <c r="FH32" s="166">
        <v>499.34444444444443</v>
      </c>
      <c r="FI32" s="166">
        <v>501.07222222222219</v>
      </c>
      <c r="FJ32" s="166">
        <v>471.64444444444445</v>
      </c>
      <c r="FK32" s="166">
        <v>494.56666666666666</v>
      </c>
      <c r="FL32" s="166">
        <v>524.25555555555559</v>
      </c>
      <c r="FM32" s="166">
        <v>534.52222222222224</v>
      </c>
      <c r="FN32" s="166">
        <v>507.32222222222219</v>
      </c>
      <c r="FO32" s="166">
        <v>359.55555555555554</v>
      </c>
      <c r="FP32" s="166">
        <v>2816.8888888888887</v>
      </c>
      <c r="FQ32" s="166">
        <v>966.21111111111111</v>
      </c>
      <c r="FR32" s="166">
        <v>1925.6555555555556</v>
      </c>
      <c r="FS32" s="166">
        <v>4188.5777777777776</v>
      </c>
      <c r="FT32" s="166">
        <v>5708.7555555555555</v>
      </c>
      <c r="FU32" s="166">
        <v>6114.2333333333327</v>
      </c>
      <c r="FV32" s="166">
        <v>827.8</v>
      </c>
      <c r="FW32" s="166">
        <v>154.75</v>
      </c>
      <c r="FX32" s="166">
        <v>982.55</v>
      </c>
      <c r="FY32" s="166">
        <v>6268.9833333333327</v>
      </c>
      <c r="FZ32" s="165">
        <v>30</v>
      </c>
      <c r="GA32" s="165">
        <v>384</v>
      </c>
      <c r="GB32" s="165">
        <v>414</v>
      </c>
      <c r="GC32" s="165">
        <v>422</v>
      </c>
      <c r="GD32" s="165">
        <v>452</v>
      </c>
      <c r="GE32" s="165">
        <v>445</v>
      </c>
      <c r="GF32" s="165">
        <v>484</v>
      </c>
      <c r="GG32" s="165">
        <v>491</v>
      </c>
      <c r="GH32" s="165">
        <v>521</v>
      </c>
      <c r="GI32" s="165">
        <v>519</v>
      </c>
      <c r="GJ32" s="165">
        <v>488</v>
      </c>
      <c r="GK32" s="165">
        <v>533</v>
      </c>
      <c r="GL32" s="165">
        <v>538</v>
      </c>
      <c r="GM32" s="165">
        <v>544</v>
      </c>
      <c r="GN32" s="165">
        <v>499</v>
      </c>
      <c r="GO32" s="165">
        <v>2815</v>
      </c>
      <c r="GP32" s="165">
        <v>1007</v>
      </c>
      <c r="GQ32" s="165">
        <v>2114</v>
      </c>
      <c r="GR32" s="165">
        <v>4236</v>
      </c>
      <c r="GS32" s="165">
        <v>5936</v>
      </c>
      <c r="GT32" s="165">
        <v>6350</v>
      </c>
      <c r="GU32" s="165">
        <v>6</v>
      </c>
      <c r="GV32" s="165">
        <v>2229</v>
      </c>
      <c r="GW32" s="165">
        <v>837</v>
      </c>
      <c r="GX32" s="165">
        <v>162</v>
      </c>
      <c r="GY32" s="165">
        <v>999</v>
      </c>
      <c r="GZ32" s="165">
        <v>6512</v>
      </c>
      <c r="HA32" s="165">
        <v>197</v>
      </c>
      <c r="HB32" s="166">
        <v>350.47300000000001</v>
      </c>
      <c r="HC32" s="166">
        <v>333.47300000000001</v>
      </c>
      <c r="HD32" s="166">
        <v>148.96199999999999</v>
      </c>
      <c r="HE32" s="166">
        <v>125.98399999999999</v>
      </c>
      <c r="HF32" s="166"/>
      <c r="HG32" s="166">
        <v>354.762</v>
      </c>
      <c r="HH32" s="166">
        <v>147</v>
      </c>
      <c r="HI32" s="166">
        <v>983</v>
      </c>
      <c r="HJ32" s="166">
        <v>1130</v>
      </c>
      <c r="HK32" s="166">
        <v>822</v>
      </c>
      <c r="HL32" s="166">
        <v>161</v>
      </c>
      <c r="HM32" s="166">
        <v>69</v>
      </c>
      <c r="HN32" s="166">
        <v>407</v>
      </c>
      <c r="HO32" s="166">
        <v>5836</v>
      </c>
      <c r="HP32" s="166">
        <v>0</v>
      </c>
      <c r="HQ32" s="166">
        <v>0</v>
      </c>
      <c r="HR32" s="166">
        <v>0</v>
      </c>
      <c r="HS32" s="166">
        <v>6243</v>
      </c>
      <c r="HT32" s="166">
        <f>FY26_FE_Data_April15[[#This Row],[Oct 1, 2026 (CDC) - K]]+FY26_FE_Data_April15[[#This Row],[Oct 1, 2026 (CDC) - Grades 1-6]]+FY26_FE_Data_April15[[#This Row],[Oct 1, 2026 (CDC) - Grades 7-8]]</f>
        <v>407</v>
      </c>
      <c r="HU32" s="166">
        <v>175</v>
      </c>
    </row>
    <row r="33" spans="1:233" ht="26">
      <c r="A33" s="158">
        <v>32</v>
      </c>
      <c r="B33" s="159" t="s">
        <v>345</v>
      </c>
      <c r="C33" s="160" t="s">
        <v>346</v>
      </c>
      <c r="D33" s="160" t="s">
        <v>87</v>
      </c>
      <c r="E33" s="159" t="s">
        <v>784</v>
      </c>
      <c r="F33" s="159" t="s">
        <v>784</v>
      </c>
      <c r="G33" s="159"/>
      <c r="H33" s="161">
        <v>623.10555555555561</v>
      </c>
      <c r="I33" s="161">
        <v>69.75</v>
      </c>
      <c r="J33" s="161">
        <v>692.85555555555561</v>
      </c>
      <c r="K33" s="162">
        <v>609</v>
      </c>
      <c r="L33" s="162">
        <v>4277</v>
      </c>
      <c r="M33" s="162">
        <v>1363</v>
      </c>
      <c r="N33" s="162">
        <v>2544</v>
      </c>
      <c r="O33" s="162">
        <v>8793</v>
      </c>
      <c r="P33" s="162">
        <v>8184</v>
      </c>
      <c r="Q33" s="162">
        <v>6249</v>
      </c>
      <c r="R33" s="162">
        <v>61</v>
      </c>
      <c r="S33" s="160">
        <v>613.67777777777781</v>
      </c>
      <c r="T33" s="160">
        <v>721.37222222222226</v>
      </c>
      <c r="U33" s="160">
        <v>702.71111111111111</v>
      </c>
      <c r="V33" s="160">
        <v>716.58888888888885</v>
      </c>
      <c r="W33" s="160">
        <v>723.04444444444448</v>
      </c>
      <c r="X33" s="160">
        <v>718.34444444444443</v>
      </c>
      <c r="Y33" s="160">
        <v>701.0333333333333</v>
      </c>
      <c r="Z33" s="160">
        <v>695.01111111111106</v>
      </c>
      <c r="AA33" s="160">
        <v>664.26666666666665</v>
      </c>
      <c r="AB33" s="160">
        <v>650.80555555555554</v>
      </c>
      <c r="AC33" s="160">
        <v>660.63333333333333</v>
      </c>
      <c r="AD33" s="160">
        <v>589.85555555555561</v>
      </c>
      <c r="AE33" s="160">
        <v>595.47777777777776</v>
      </c>
      <c r="AF33" s="160">
        <v>4283.0944444444449</v>
      </c>
      <c r="AG33" s="160">
        <v>1359.2777777777778</v>
      </c>
      <c r="AH33" s="160">
        <v>2496.7722222222224</v>
      </c>
      <c r="AI33" s="160">
        <v>6256.0499999999993</v>
      </c>
      <c r="AJ33" s="160">
        <v>8139.1444444444451</v>
      </c>
      <c r="AK33" s="160">
        <v>8752.8222222222212</v>
      </c>
      <c r="AL33" s="161">
        <v>640.81111111111113</v>
      </c>
      <c r="AM33" s="161">
        <v>56.75</v>
      </c>
      <c r="AN33" s="161">
        <v>697.56111111111113</v>
      </c>
      <c r="AO33" s="161">
        <v>8809.5722222222212</v>
      </c>
      <c r="AP33" s="162">
        <v>564</v>
      </c>
      <c r="AQ33" s="168">
        <v>640</v>
      </c>
      <c r="AR33" s="160">
        <v>713</v>
      </c>
      <c r="AS33" s="160">
        <v>679</v>
      </c>
      <c r="AT33" s="160">
        <v>722</v>
      </c>
      <c r="AU33" s="160">
        <v>703</v>
      </c>
      <c r="AV33" s="160">
        <v>715</v>
      </c>
      <c r="AW33" s="160">
        <v>684</v>
      </c>
      <c r="AX33" s="160">
        <v>689</v>
      </c>
      <c r="AY33" s="160">
        <v>624</v>
      </c>
      <c r="AZ33" s="160">
        <v>666</v>
      </c>
      <c r="BA33" s="160">
        <v>666</v>
      </c>
      <c r="BB33" s="160">
        <v>602</v>
      </c>
      <c r="BC33" s="160">
        <v>4172</v>
      </c>
      <c r="BD33" s="160">
        <v>1373</v>
      </c>
      <c r="BE33" s="160">
        <v>2558</v>
      </c>
      <c r="BF33" s="160">
        <v>6109</v>
      </c>
      <c r="BG33" s="160">
        <v>8103</v>
      </c>
      <c r="BH33" s="160">
        <v>8667</v>
      </c>
      <c r="BI33" s="160">
        <v>558</v>
      </c>
      <c r="BJ33" s="160">
        <v>6</v>
      </c>
      <c r="BK33" s="160">
        <v>1</v>
      </c>
      <c r="BL33" s="160">
        <v>2046</v>
      </c>
      <c r="BM33" s="160">
        <v>619</v>
      </c>
      <c r="BN33" s="162">
        <v>61</v>
      </c>
      <c r="BO33" s="162">
        <v>680</v>
      </c>
      <c r="BP33" s="162">
        <v>914</v>
      </c>
      <c r="BQ33" s="163">
        <v>9.2540267016940403E-2</v>
      </c>
      <c r="BR33" s="164">
        <v>495.30699999999979</v>
      </c>
      <c r="BS33" s="164">
        <v>479.30699999999979</v>
      </c>
      <c r="BT33" s="164">
        <v>444.31699999999984</v>
      </c>
      <c r="BU33" s="164">
        <v>493.80699999999985</v>
      </c>
      <c r="BV33" s="165">
        <v>1946</v>
      </c>
      <c r="BW33" s="165">
        <v>997</v>
      </c>
      <c r="BX33" s="166">
        <v>1332.25</v>
      </c>
      <c r="BY33" s="166">
        <v>6</v>
      </c>
      <c r="BZ33" s="166">
        <v>554.83333300000004</v>
      </c>
      <c r="CA33" s="166">
        <v>560.83333333333337</v>
      </c>
      <c r="CB33" s="166">
        <v>638.71111111111111</v>
      </c>
      <c r="CC33" s="166">
        <v>713.58888888888885</v>
      </c>
      <c r="CD33" s="166">
        <v>680.52222222222224</v>
      </c>
      <c r="CE33" s="166">
        <v>725.36666666666667</v>
      </c>
      <c r="CF33" s="166">
        <v>702.16666666666663</v>
      </c>
      <c r="CG33" s="166">
        <v>713.12777777777774</v>
      </c>
      <c r="CH33" s="166">
        <v>678.67777777777781</v>
      </c>
      <c r="CI33" s="166">
        <v>672.78888888888889</v>
      </c>
      <c r="CJ33" s="166">
        <v>620.45555555555552</v>
      </c>
      <c r="CK33" s="166">
        <v>656.42222222222222</v>
      </c>
      <c r="CL33" s="166">
        <v>656.68333333333328</v>
      </c>
      <c r="CM33" s="166">
        <v>581.69444444444446</v>
      </c>
      <c r="CN33" s="166">
        <v>4173.4833333333336</v>
      </c>
      <c r="CO33" s="166">
        <v>1351.4666666666667</v>
      </c>
      <c r="CP33" s="166">
        <v>2515.2555555555555</v>
      </c>
      <c r="CQ33" s="166">
        <v>6085.7833333333338</v>
      </c>
      <c r="CR33" s="166">
        <v>8040.2055555555562</v>
      </c>
      <c r="CS33" s="166">
        <v>8601.0388888888901</v>
      </c>
      <c r="CT33" s="166">
        <v>629.06666666666695</v>
      </c>
      <c r="CU33" s="166">
        <v>64.105555555555597</v>
      </c>
      <c r="CV33" s="166">
        <v>693.17222222222256</v>
      </c>
      <c r="CW33" s="166">
        <v>8665.144444444446</v>
      </c>
      <c r="CX33" s="166">
        <v>1454.388888</v>
      </c>
      <c r="CY33" s="166">
        <v>478</v>
      </c>
      <c r="CZ33" s="165">
        <v>3</v>
      </c>
      <c r="DA33" s="165">
        <v>481</v>
      </c>
      <c r="DB33" s="165">
        <v>615</v>
      </c>
      <c r="DC33" s="165">
        <v>631</v>
      </c>
      <c r="DD33" s="165">
        <v>689</v>
      </c>
      <c r="DE33" s="165">
        <v>684</v>
      </c>
      <c r="DF33" s="165">
        <v>699</v>
      </c>
      <c r="DG33" s="165">
        <v>667</v>
      </c>
      <c r="DH33" s="165">
        <v>715</v>
      </c>
      <c r="DI33" s="165">
        <v>685</v>
      </c>
      <c r="DJ33" s="165">
        <v>629</v>
      </c>
      <c r="DK33" s="165">
        <v>651</v>
      </c>
      <c r="DL33" s="165">
        <v>673</v>
      </c>
      <c r="DM33" s="165">
        <v>666</v>
      </c>
      <c r="DN33" s="165">
        <v>3985</v>
      </c>
      <c r="DO33" s="165">
        <v>1400</v>
      </c>
      <c r="DP33" s="165">
        <v>2619</v>
      </c>
      <c r="DQ33" s="165">
        <v>5866</v>
      </c>
      <c r="DR33" s="165">
        <v>8004</v>
      </c>
      <c r="DS33" s="165">
        <v>8485</v>
      </c>
      <c r="DT33" s="165">
        <v>5</v>
      </c>
      <c r="DU33" s="165">
        <v>1788</v>
      </c>
      <c r="DV33" s="165">
        <v>640</v>
      </c>
      <c r="DW33" s="165">
        <v>64</v>
      </c>
      <c r="DX33" s="165">
        <v>704</v>
      </c>
      <c r="DY33" s="165">
        <v>8549</v>
      </c>
      <c r="DZ33" s="165">
        <v>901</v>
      </c>
      <c r="EA33" s="166">
        <v>505.27399999999977</v>
      </c>
      <c r="EB33" s="166">
        <v>486.27399999999977</v>
      </c>
      <c r="EC33" s="166">
        <v>193.37000000000006</v>
      </c>
      <c r="ED33" s="166">
        <v>184.51500000000001</v>
      </c>
      <c r="EE33" s="166">
        <v>12</v>
      </c>
      <c r="EF33" s="166">
        <v>514.36399999999981</v>
      </c>
      <c r="EG33" s="167">
        <v>9.2868255708554504E-2</v>
      </c>
      <c r="EH33" s="165"/>
      <c r="EI33" s="165">
        <v>476</v>
      </c>
      <c r="EJ33" s="165">
        <v>7924</v>
      </c>
      <c r="EK33" s="165"/>
      <c r="EL33" s="165"/>
      <c r="EM33" s="166"/>
      <c r="EN33" s="165">
        <v>8400</v>
      </c>
      <c r="EO33" s="165">
        <v>71</v>
      </c>
      <c r="EP33" s="165">
        <v>711</v>
      </c>
      <c r="EQ33" s="165">
        <v>782</v>
      </c>
      <c r="ER33" s="165">
        <v>643</v>
      </c>
      <c r="ES33" s="165">
        <v>68</v>
      </c>
      <c r="ET33" s="165">
        <v>81</v>
      </c>
      <c r="EU33" s="166">
        <v>126.05</v>
      </c>
      <c r="EV33" s="166">
        <v>3.375</v>
      </c>
      <c r="EW33" s="166">
        <v>32</v>
      </c>
      <c r="EX33" s="166">
        <v>28</v>
      </c>
      <c r="EY33" s="166">
        <v>122.45</v>
      </c>
      <c r="EZ33" s="166">
        <v>311.875</v>
      </c>
      <c r="FA33" s="166">
        <v>0</v>
      </c>
      <c r="FB33" s="166">
        <v>478.39444444444445</v>
      </c>
      <c r="FC33" s="166">
        <v>478.39444444444445</v>
      </c>
      <c r="FD33" s="166">
        <v>597.86111111111109</v>
      </c>
      <c r="FE33" s="166">
        <v>626.88888888888891</v>
      </c>
      <c r="FF33" s="166">
        <v>685.16666666666663</v>
      </c>
      <c r="FG33" s="166">
        <v>682.15</v>
      </c>
      <c r="FH33" s="166">
        <v>691.90555555555557</v>
      </c>
      <c r="FI33" s="166">
        <v>658.83888888888885</v>
      </c>
      <c r="FJ33" s="166">
        <v>707.31111111111113</v>
      </c>
      <c r="FK33" s="166">
        <v>666.7833333333333</v>
      </c>
      <c r="FL33" s="166">
        <v>616.86111111111109</v>
      </c>
      <c r="FM33" s="166">
        <v>646.34444444444443</v>
      </c>
      <c r="FN33" s="166">
        <v>665.24444444444441</v>
      </c>
      <c r="FO33" s="166">
        <v>646.06666666666672</v>
      </c>
      <c r="FP33" s="166">
        <v>3942.8111111111111</v>
      </c>
      <c r="FQ33" s="166">
        <v>1374.0944444444444</v>
      </c>
      <c r="FR33" s="166">
        <v>2574.5166666666664</v>
      </c>
      <c r="FS33" s="166">
        <v>5795.2999999999993</v>
      </c>
      <c r="FT33" s="166">
        <v>7891.4222222222224</v>
      </c>
      <c r="FU33" s="166">
        <v>8369.8166666666675</v>
      </c>
      <c r="FV33" s="166">
        <v>648.05555555555554</v>
      </c>
      <c r="FW33" s="166">
        <v>63.116666666666667</v>
      </c>
      <c r="FX33" s="166">
        <v>711.17222222222222</v>
      </c>
      <c r="FY33" s="166">
        <v>8432.9333333333343</v>
      </c>
      <c r="FZ33" s="165">
        <v>4</v>
      </c>
      <c r="GA33" s="165">
        <v>520</v>
      </c>
      <c r="GB33" s="165">
        <v>524</v>
      </c>
      <c r="GC33" s="165">
        <v>526</v>
      </c>
      <c r="GD33" s="165">
        <v>594</v>
      </c>
      <c r="GE33" s="165">
        <v>629</v>
      </c>
      <c r="GF33" s="165">
        <v>669</v>
      </c>
      <c r="GG33" s="165">
        <v>667</v>
      </c>
      <c r="GH33" s="165">
        <v>674</v>
      </c>
      <c r="GI33" s="165">
        <v>650</v>
      </c>
      <c r="GJ33" s="165">
        <v>665</v>
      </c>
      <c r="GK33" s="165">
        <v>653</v>
      </c>
      <c r="GL33" s="165">
        <v>636</v>
      </c>
      <c r="GM33" s="165">
        <v>653</v>
      </c>
      <c r="GN33" s="165">
        <v>674</v>
      </c>
      <c r="GO33" s="165">
        <v>3759</v>
      </c>
      <c r="GP33" s="165">
        <v>1315</v>
      </c>
      <c r="GQ33" s="165">
        <v>2616</v>
      </c>
      <c r="GR33" s="165">
        <v>5598</v>
      </c>
      <c r="GS33" s="165">
        <v>7690</v>
      </c>
      <c r="GT33" s="165">
        <v>8214</v>
      </c>
      <c r="GU33" s="165">
        <v>5</v>
      </c>
      <c r="GV33" s="165">
        <v>1805</v>
      </c>
      <c r="GW33" s="165">
        <v>663</v>
      </c>
      <c r="GX33" s="165">
        <v>66</v>
      </c>
      <c r="GY33" s="165">
        <v>729</v>
      </c>
      <c r="GZ33" s="165">
        <v>8280</v>
      </c>
      <c r="HA33" s="165">
        <v>862</v>
      </c>
      <c r="HB33" s="166">
        <v>507.32600000000014</v>
      </c>
      <c r="HC33" s="166">
        <v>488.49600000000009</v>
      </c>
      <c r="HD33" s="166">
        <v>205.36</v>
      </c>
      <c r="HE33" s="166">
        <v>188.83299999999997</v>
      </c>
      <c r="HF33" s="166"/>
      <c r="HG33" s="166">
        <v>522.24599999999998</v>
      </c>
      <c r="HH33" s="166">
        <v>58</v>
      </c>
      <c r="HI33" s="166">
        <v>734</v>
      </c>
      <c r="HJ33" s="166">
        <v>792</v>
      </c>
      <c r="HK33" s="166">
        <v>668</v>
      </c>
      <c r="HL33" s="166">
        <v>66</v>
      </c>
      <c r="HM33" s="166">
        <v>144</v>
      </c>
      <c r="HN33" s="166">
        <v>505</v>
      </c>
      <c r="HO33" s="166">
        <v>7411</v>
      </c>
      <c r="HP33" s="166">
        <v>0</v>
      </c>
      <c r="HQ33" s="166">
        <v>0</v>
      </c>
      <c r="HR33" s="166">
        <v>0</v>
      </c>
      <c r="HS33" s="166">
        <v>7916</v>
      </c>
      <c r="HT33" s="166">
        <f>FY26_FE_Data_April15[[#This Row],[Oct 1, 2026 (CDC) - K]]+FY26_FE_Data_April15[[#This Row],[Oct 1, 2026 (CDC) - Grades 1-6]]+FY26_FE_Data_April15[[#This Row],[Oct 1, 2026 (CDC) - Grades 7-8]]</f>
        <v>505</v>
      </c>
      <c r="HU33" s="166">
        <v>1098.1111109999999</v>
      </c>
    </row>
    <row r="34" spans="1:233" ht="26">
      <c r="A34" s="158">
        <v>33</v>
      </c>
      <c r="B34" s="159" t="s">
        <v>347</v>
      </c>
      <c r="C34" s="160" t="s">
        <v>348</v>
      </c>
      <c r="D34" s="160" t="s">
        <v>87</v>
      </c>
      <c r="E34" s="159" t="s">
        <v>784</v>
      </c>
      <c r="F34" s="159" t="s">
        <v>784</v>
      </c>
      <c r="G34" s="159"/>
      <c r="H34" s="161">
        <v>3919.2388888888891</v>
      </c>
      <c r="I34" s="161">
        <v>447.63333333333333</v>
      </c>
      <c r="J34" s="161">
        <v>4366.8722222222223</v>
      </c>
      <c r="K34" s="162">
        <v>2419</v>
      </c>
      <c r="L34" s="162">
        <v>16305</v>
      </c>
      <c r="M34" s="162">
        <v>6059</v>
      </c>
      <c r="N34" s="162">
        <v>11840</v>
      </c>
      <c r="O34" s="162">
        <v>36623</v>
      </c>
      <c r="P34" s="162">
        <v>34204</v>
      </c>
      <c r="Q34" s="162">
        <v>24783</v>
      </c>
      <c r="R34" s="162">
        <v>441</v>
      </c>
      <c r="S34" s="160">
        <v>2210.0833333333335</v>
      </c>
      <c r="T34" s="160">
        <v>2355.3444444444444</v>
      </c>
      <c r="U34" s="160">
        <v>2399.75</v>
      </c>
      <c r="V34" s="160">
        <v>2484.2111111111112</v>
      </c>
      <c r="W34" s="160">
        <v>2450.6777777777779</v>
      </c>
      <c r="X34" s="160">
        <v>2432.0611111111111</v>
      </c>
      <c r="Y34" s="160">
        <v>2646.0388888888888</v>
      </c>
      <c r="Z34" s="160">
        <v>2682.3055555555557</v>
      </c>
      <c r="AA34" s="160">
        <v>2891.4055555555556</v>
      </c>
      <c r="AB34" s="160">
        <v>2963.4222222222224</v>
      </c>
      <c r="AC34" s="160">
        <v>2955.7888888888888</v>
      </c>
      <c r="AD34" s="160">
        <v>2917.5833333333335</v>
      </c>
      <c r="AE34" s="160">
        <v>2541.7944444444443</v>
      </c>
      <c r="AF34" s="160">
        <v>14768.083333333332</v>
      </c>
      <c r="AG34" s="160">
        <v>5573.7111111111117</v>
      </c>
      <c r="AH34" s="160">
        <v>11378.588888888889</v>
      </c>
      <c r="AI34" s="160">
        <v>22551.877777777776</v>
      </c>
      <c r="AJ34" s="160">
        <v>31720.383333333331</v>
      </c>
      <c r="AK34" s="160">
        <v>33930.466666666667</v>
      </c>
      <c r="AL34" s="161">
        <v>4048.6444444444446</v>
      </c>
      <c r="AM34" s="161">
        <v>464.70555555555558</v>
      </c>
      <c r="AN34" s="161">
        <v>4513.3500000000004</v>
      </c>
      <c r="AO34" s="161">
        <v>34395.172222222223</v>
      </c>
      <c r="AP34" s="162">
        <v>2287</v>
      </c>
      <c r="AQ34" s="168">
        <v>2616</v>
      </c>
      <c r="AR34" s="160">
        <v>2734</v>
      </c>
      <c r="AS34" s="160">
        <v>2712</v>
      </c>
      <c r="AT34" s="160">
        <v>2796</v>
      </c>
      <c r="AU34" s="160">
        <v>2764</v>
      </c>
      <c r="AV34" s="160">
        <v>2760</v>
      </c>
      <c r="AW34" s="160">
        <v>2866</v>
      </c>
      <c r="AX34" s="160">
        <v>3113</v>
      </c>
      <c r="AY34" s="160">
        <v>2995</v>
      </c>
      <c r="AZ34" s="160">
        <v>3089</v>
      </c>
      <c r="BA34" s="160">
        <v>3081</v>
      </c>
      <c r="BB34" s="160">
        <v>2940</v>
      </c>
      <c r="BC34" s="160">
        <v>16382</v>
      </c>
      <c r="BD34" s="160">
        <v>5979</v>
      </c>
      <c r="BE34" s="160">
        <v>12105</v>
      </c>
      <c r="BF34" s="160">
        <v>24648</v>
      </c>
      <c r="BG34" s="160">
        <v>34466</v>
      </c>
      <c r="BH34" s="160">
        <v>36753</v>
      </c>
      <c r="BI34" s="160">
        <v>1947</v>
      </c>
      <c r="BJ34" s="160">
        <v>340</v>
      </c>
      <c r="BK34" s="160">
        <v>7</v>
      </c>
      <c r="BL34" s="160">
        <v>10947</v>
      </c>
      <c r="BM34" s="160">
        <v>4039</v>
      </c>
      <c r="BN34" s="162">
        <v>499</v>
      </c>
      <c r="BO34" s="162">
        <v>4538</v>
      </c>
      <c r="BP34" s="162">
        <v>2255</v>
      </c>
      <c r="BQ34" s="163">
        <v>9.4979071088689582E-2</v>
      </c>
      <c r="BR34" s="164">
        <v>1939.2979999999995</v>
      </c>
      <c r="BS34" s="164">
        <v>1865.1579999999994</v>
      </c>
      <c r="BT34" s="164">
        <v>1752.9199999999996</v>
      </c>
      <c r="BU34" s="164">
        <v>1918.3999999999992</v>
      </c>
      <c r="BV34" s="165">
        <v>1506</v>
      </c>
      <c r="BW34" s="165">
        <v>708</v>
      </c>
      <c r="BX34" s="166">
        <v>1530.833333</v>
      </c>
      <c r="BY34" s="166">
        <v>151.68888799999999</v>
      </c>
      <c r="BZ34" s="166">
        <v>1918.7833330000001</v>
      </c>
      <c r="CA34" s="166">
        <v>2070.4722222222222</v>
      </c>
      <c r="CB34" s="166">
        <v>2310.8944444444446</v>
      </c>
      <c r="CC34" s="166">
        <v>2435.6</v>
      </c>
      <c r="CD34" s="166">
        <v>2448.8277777777776</v>
      </c>
      <c r="CE34" s="166">
        <v>2511.2277777777776</v>
      </c>
      <c r="CF34" s="166">
        <v>2504.3444444444444</v>
      </c>
      <c r="CG34" s="166">
        <v>2489.7555555555555</v>
      </c>
      <c r="CH34" s="166">
        <v>2651.8888888888887</v>
      </c>
      <c r="CI34" s="166">
        <v>2879.85</v>
      </c>
      <c r="CJ34" s="166">
        <v>2932.2111111111112</v>
      </c>
      <c r="CK34" s="166">
        <v>3017.8888888888887</v>
      </c>
      <c r="CL34" s="166">
        <v>3006.0388888888888</v>
      </c>
      <c r="CM34" s="166">
        <v>2753.5388888888888</v>
      </c>
      <c r="CN34" s="166">
        <v>14700.65</v>
      </c>
      <c r="CO34" s="166">
        <v>5531.7388888888891</v>
      </c>
      <c r="CP34" s="166">
        <v>11709.677777777777</v>
      </c>
      <c r="CQ34" s="166">
        <v>22302.861111111109</v>
      </c>
      <c r="CR34" s="166">
        <v>31942.066666666666</v>
      </c>
      <c r="CS34" s="166">
        <v>34012.538888888885</v>
      </c>
      <c r="CT34" s="166">
        <v>4073.3</v>
      </c>
      <c r="CU34" s="166">
        <v>486.91666666666703</v>
      </c>
      <c r="CV34" s="166">
        <v>4560.2166666666672</v>
      </c>
      <c r="CW34" s="166">
        <v>34499.455555555549</v>
      </c>
      <c r="CX34" s="166">
        <v>1567.65</v>
      </c>
      <c r="CY34" s="166">
        <v>1813</v>
      </c>
      <c r="CZ34" s="165">
        <v>347</v>
      </c>
      <c r="DA34" s="165">
        <v>2160</v>
      </c>
      <c r="DB34" s="165">
        <v>2330</v>
      </c>
      <c r="DC34" s="165">
        <v>2552</v>
      </c>
      <c r="DD34" s="165">
        <v>2637</v>
      </c>
      <c r="DE34" s="165">
        <v>2665</v>
      </c>
      <c r="DF34" s="165">
        <v>2775</v>
      </c>
      <c r="DG34" s="165">
        <v>2727</v>
      </c>
      <c r="DH34" s="165">
        <v>2666</v>
      </c>
      <c r="DI34" s="165">
        <v>2995</v>
      </c>
      <c r="DJ34" s="165">
        <v>2977</v>
      </c>
      <c r="DK34" s="165">
        <v>3105</v>
      </c>
      <c r="DL34" s="165">
        <v>3273</v>
      </c>
      <c r="DM34" s="165">
        <v>3144</v>
      </c>
      <c r="DN34" s="165">
        <v>15686</v>
      </c>
      <c r="DO34" s="165">
        <v>5661</v>
      </c>
      <c r="DP34" s="165">
        <v>12499</v>
      </c>
      <c r="DQ34" s="165">
        <v>23507</v>
      </c>
      <c r="DR34" s="165">
        <v>33846</v>
      </c>
      <c r="DS34" s="165">
        <v>36006</v>
      </c>
      <c r="DT34" s="165">
        <v>8</v>
      </c>
      <c r="DU34" s="165">
        <v>10254</v>
      </c>
      <c r="DV34" s="165">
        <v>4109</v>
      </c>
      <c r="DW34" s="165">
        <v>465</v>
      </c>
      <c r="DX34" s="165">
        <v>4574</v>
      </c>
      <c r="DY34" s="165">
        <v>36471</v>
      </c>
      <c r="DZ34" s="165">
        <v>2357</v>
      </c>
      <c r="EA34" s="166">
        <v>1941.5800000000006</v>
      </c>
      <c r="EB34" s="166">
        <v>1868.5800000000004</v>
      </c>
      <c r="EC34" s="166">
        <v>785.13499999999988</v>
      </c>
      <c r="ED34" s="166">
        <v>789.84800000000007</v>
      </c>
      <c r="EE34" s="166">
        <v>0</v>
      </c>
      <c r="EF34" s="166">
        <v>1952.3920000000005</v>
      </c>
      <c r="EG34" s="167">
        <v>9.6375806046176515E-2</v>
      </c>
      <c r="EH34" s="165"/>
      <c r="EI34" s="165">
        <v>2100</v>
      </c>
      <c r="EJ34" s="165">
        <v>32900</v>
      </c>
      <c r="EK34" s="165"/>
      <c r="EL34" s="165"/>
      <c r="EM34" s="166"/>
      <c r="EN34" s="165">
        <v>35000</v>
      </c>
      <c r="EO34" s="165">
        <v>445</v>
      </c>
      <c r="EP34" s="165">
        <v>4621</v>
      </c>
      <c r="EQ34" s="165">
        <v>5066</v>
      </c>
      <c r="ER34" s="165">
        <v>4126</v>
      </c>
      <c r="ES34" s="165">
        <v>495</v>
      </c>
      <c r="ET34" s="165">
        <v>143</v>
      </c>
      <c r="EU34" s="166">
        <v>367.88799999999998</v>
      </c>
      <c r="EV34" s="166">
        <v>48.975000000000001</v>
      </c>
      <c r="EW34" s="166">
        <v>173.01300000000001</v>
      </c>
      <c r="EX34" s="166">
        <v>150.94999999999999</v>
      </c>
      <c r="EY34" s="166">
        <v>419.94200000000001</v>
      </c>
      <c r="EZ34" s="166">
        <v>1160.768</v>
      </c>
      <c r="FA34" s="166">
        <v>124.41666666666667</v>
      </c>
      <c r="FB34" s="166">
        <v>1799.2</v>
      </c>
      <c r="FC34" s="166">
        <v>1923.6166666666666</v>
      </c>
      <c r="FD34" s="166">
        <v>2089.0333333333333</v>
      </c>
      <c r="FE34" s="166">
        <v>2299.3277777777776</v>
      </c>
      <c r="FF34" s="166">
        <v>2396.9</v>
      </c>
      <c r="FG34" s="166">
        <v>2423.7333333333331</v>
      </c>
      <c r="FH34" s="166">
        <v>2529.0833333333335</v>
      </c>
      <c r="FI34" s="166">
        <v>2474.4611111111112</v>
      </c>
      <c r="FJ34" s="166">
        <v>2463.5722222222221</v>
      </c>
      <c r="FK34" s="166">
        <v>2811.9611111111112</v>
      </c>
      <c r="FL34" s="166">
        <v>2895.6055555555554</v>
      </c>
      <c r="FM34" s="166">
        <v>3002.4222222222224</v>
      </c>
      <c r="FN34" s="166">
        <v>3159.1555555555556</v>
      </c>
      <c r="FO34" s="166">
        <v>2918.9888888888891</v>
      </c>
      <c r="FP34" s="166">
        <v>14212.53888888889</v>
      </c>
      <c r="FQ34" s="166">
        <v>5275.5333333333328</v>
      </c>
      <c r="FR34" s="166">
        <v>11976.172222222222</v>
      </c>
      <c r="FS34" s="166">
        <v>21411.68888888889</v>
      </c>
      <c r="FT34" s="166">
        <v>31464.244444444448</v>
      </c>
      <c r="FU34" s="166">
        <v>33387.861111111109</v>
      </c>
      <c r="FV34" s="166">
        <v>4085.088888888889</v>
      </c>
      <c r="FW34" s="166">
        <v>482.95555555555558</v>
      </c>
      <c r="FX34" s="166">
        <v>4568.0444444444447</v>
      </c>
      <c r="FY34" s="166">
        <v>33870.816666666666</v>
      </c>
      <c r="FZ34" s="165">
        <v>257</v>
      </c>
      <c r="GA34" s="165">
        <v>1781</v>
      </c>
      <c r="GB34" s="165">
        <v>2038</v>
      </c>
      <c r="GC34" s="165">
        <v>2087</v>
      </c>
      <c r="GD34" s="165">
        <v>2247</v>
      </c>
      <c r="GE34" s="165">
        <v>2489</v>
      </c>
      <c r="GF34" s="165">
        <v>2539</v>
      </c>
      <c r="GG34" s="165">
        <v>2633</v>
      </c>
      <c r="GH34" s="165">
        <v>2699</v>
      </c>
      <c r="GI34" s="165">
        <v>2640</v>
      </c>
      <c r="GJ34" s="165">
        <v>2759</v>
      </c>
      <c r="GK34" s="165">
        <v>2959</v>
      </c>
      <c r="GL34" s="165">
        <v>2985</v>
      </c>
      <c r="GM34" s="165">
        <v>3108</v>
      </c>
      <c r="GN34" s="165">
        <v>3213</v>
      </c>
      <c r="GO34" s="165">
        <v>14694</v>
      </c>
      <c r="GP34" s="165">
        <v>5399</v>
      </c>
      <c r="GQ34" s="165">
        <v>12265</v>
      </c>
      <c r="GR34" s="165">
        <v>22131</v>
      </c>
      <c r="GS34" s="165">
        <v>32358</v>
      </c>
      <c r="GT34" s="165">
        <v>34396</v>
      </c>
      <c r="GU34" s="165">
        <v>7</v>
      </c>
      <c r="GV34" s="165">
        <v>9516</v>
      </c>
      <c r="GW34" s="165">
        <v>4064</v>
      </c>
      <c r="GX34" s="165">
        <v>505</v>
      </c>
      <c r="GY34" s="165">
        <v>4569</v>
      </c>
      <c r="GZ34" s="165">
        <v>34901</v>
      </c>
      <c r="HA34" s="165">
        <v>2180</v>
      </c>
      <c r="HB34" s="166">
        <v>1931.9880000000007</v>
      </c>
      <c r="HC34" s="166">
        <v>1857.488000000001</v>
      </c>
      <c r="HD34" s="166">
        <v>773.79099999999994</v>
      </c>
      <c r="HE34" s="166">
        <v>796.37000000000035</v>
      </c>
      <c r="HF34" s="166"/>
      <c r="HG34" s="166">
        <v>1944.2149999999999</v>
      </c>
      <c r="HH34" s="166">
        <v>393</v>
      </c>
      <c r="HI34" s="166">
        <v>4595</v>
      </c>
      <c r="HJ34" s="166">
        <v>4988</v>
      </c>
      <c r="HK34" s="166">
        <v>4084</v>
      </c>
      <c r="HL34" s="166">
        <v>511</v>
      </c>
      <c r="HM34" s="166">
        <v>150</v>
      </c>
      <c r="HN34" s="166">
        <v>1973</v>
      </c>
      <c r="HO34" s="166">
        <v>31327</v>
      </c>
      <c r="HP34" s="166">
        <v>0</v>
      </c>
      <c r="HQ34" s="166">
        <v>0</v>
      </c>
      <c r="HR34" s="166">
        <v>0</v>
      </c>
      <c r="HS34" s="166">
        <v>33300</v>
      </c>
      <c r="HT34" s="166">
        <f>FY26_FE_Data_April15[[#This Row],[Oct 1, 2026 (CDC) - K]]+FY26_FE_Data_April15[[#This Row],[Oct 1, 2026 (CDC) - Grades 1-6]]+FY26_FE_Data_April15[[#This Row],[Oct 1, 2026 (CDC) - Grades 7-8]]</f>
        <v>1973</v>
      </c>
      <c r="HU34" s="166">
        <v>1699.633333</v>
      </c>
    </row>
    <row r="35" spans="1:233" ht="26">
      <c r="A35" s="158">
        <v>34</v>
      </c>
      <c r="B35" s="159" t="s">
        <v>349</v>
      </c>
      <c r="C35" s="160" t="s">
        <v>350</v>
      </c>
      <c r="D35" s="160" t="s">
        <v>87</v>
      </c>
      <c r="E35" s="159" t="s">
        <v>784</v>
      </c>
      <c r="F35" s="159" t="s">
        <v>784</v>
      </c>
      <c r="G35" s="159"/>
      <c r="H35" s="161">
        <v>53.072222222222223</v>
      </c>
      <c r="I35" s="161">
        <v>2</v>
      </c>
      <c r="J35" s="161">
        <v>55.072222222222223</v>
      </c>
      <c r="K35" s="162">
        <v>33</v>
      </c>
      <c r="L35" s="162">
        <v>210</v>
      </c>
      <c r="M35" s="162">
        <v>55</v>
      </c>
      <c r="N35" s="162">
        <v>140</v>
      </c>
      <c r="O35" s="162">
        <v>438</v>
      </c>
      <c r="P35" s="162">
        <v>405</v>
      </c>
      <c r="Q35" s="162">
        <v>298</v>
      </c>
      <c r="R35" s="162">
        <v>3</v>
      </c>
      <c r="S35" s="160">
        <v>30.15</v>
      </c>
      <c r="T35" s="160">
        <v>34.222222222222221</v>
      </c>
      <c r="U35" s="160">
        <v>37.533333333333331</v>
      </c>
      <c r="V35" s="160">
        <v>42.927777777777777</v>
      </c>
      <c r="W35" s="160">
        <v>29.216666666666665</v>
      </c>
      <c r="X35" s="160">
        <v>29.666666666666668</v>
      </c>
      <c r="Y35" s="160">
        <v>33.011111111111113</v>
      </c>
      <c r="Z35" s="160">
        <v>35.033333333333331</v>
      </c>
      <c r="AA35" s="160">
        <v>20.833333333333332</v>
      </c>
      <c r="AB35" s="160">
        <v>37.15</v>
      </c>
      <c r="AC35" s="160">
        <v>32.027777777777779</v>
      </c>
      <c r="AD35" s="160">
        <v>31.7</v>
      </c>
      <c r="AE35" s="160">
        <v>30.066666666666666</v>
      </c>
      <c r="AF35" s="160">
        <v>206.57777777777778</v>
      </c>
      <c r="AG35" s="160">
        <v>55.86666666666666</v>
      </c>
      <c r="AH35" s="160">
        <v>130.94444444444446</v>
      </c>
      <c r="AI35" s="160">
        <v>292.59444444444438</v>
      </c>
      <c r="AJ35" s="160">
        <v>393.38888888888886</v>
      </c>
      <c r="AK35" s="160">
        <v>423.53888888888878</v>
      </c>
      <c r="AL35" s="161">
        <v>57.733333333333334</v>
      </c>
      <c r="AM35" s="161">
        <v>3</v>
      </c>
      <c r="AN35" s="161">
        <v>60.733333333333334</v>
      </c>
      <c r="AO35" s="161">
        <v>426.53888888888878</v>
      </c>
      <c r="AP35" s="162">
        <v>30</v>
      </c>
      <c r="AQ35" s="168">
        <v>28</v>
      </c>
      <c r="AR35" s="160">
        <v>33</v>
      </c>
      <c r="AS35" s="160">
        <v>35</v>
      </c>
      <c r="AT35" s="160">
        <v>41</v>
      </c>
      <c r="AU35" s="160">
        <v>28</v>
      </c>
      <c r="AV35" s="160">
        <v>28</v>
      </c>
      <c r="AW35" s="160">
        <v>31</v>
      </c>
      <c r="AX35" s="160">
        <v>34</v>
      </c>
      <c r="AY35" s="160">
        <v>22</v>
      </c>
      <c r="AZ35" s="160">
        <v>35</v>
      </c>
      <c r="BA35" s="160">
        <v>28</v>
      </c>
      <c r="BB35" s="160">
        <v>29</v>
      </c>
      <c r="BC35" s="160">
        <v>193</v>
      </c>
      <c r="BD35" s="160">
        <v>65</v>
      </c>
      <c r="BE35" s="160">
        <v>114</v>
      </c>
      <c r="BF35" s="160">
        <v>288</v>
      </c>
      <c r="BG35" s="160">
        <v>372</v>
      </c>
      <c r="BH35" s="160">
        <v>402</v>
      </c>
      <c r="BI35" s="160">
        <v>28</v>
      </c>
      <c r="BJ35" s="160">
        <v>2</v>
      </c>
      <c r="BK35" s="160">
        <v>0</v>
      </c>
      <c r="BL35" s="160">
        <v>188</v>
      </c>
      <c r="BM35" s="160">
        <v>56</v>
      </c>
      <c r="BN35" s="162">
        <v>2</v>
      </c>
      <c r="BO35" s="162">
        <v>58</v>
      </c>
      <c r="BP35" s="162">
        <v>7</v>
      </c>
      <c r="BQ35" s="163">
        <v>8.4940665958200434E-2</v>
      </c>
      <c r="BR35" s="164">
        <v>36.224999999999994</v>
      </c>
      <c r="BS35" s="164">
        <v>33.475000000000001</v>
      </c>
      <c r="BT35" s="164">
        <v>32.474999999999994</v>
      </c>
      <c r="BU35" s="164">
        <v>36.825000000000003</v>
      </c>
      <c r="BV35" s="165">
        <v>0</v>
      </c>
      <c r="BW35" s="165">
        <v>0</v>
      </c>
      <c r="BX35" s="166">
        <v>0</v>
      </c>
      <c r="BY35" s="166">
        <v>2</v>
      </c>
      <c r="BZ35" s="166">
        <v>29</v>
      </c>
      <c r="CA35" s="166">
        <v>31</v>
      </c>
      <c r="CB35" s="166">
        <v>25.372222222222224</v>
      </c>
      <c r="CC35" s="166">
        <v>31.516666666666666</v>
      </c>
      <c r="CD35" s="166">
        <v>34.4</v>
      </c>
      <c r="CE35" s="166">
        <v>41.594444444444441</v>
      </c>
      <c r="CF35" s="166">
        <v>29.344444444444445</v>
      </c>
      <c r="CG35" s="166">
        <v>28.155555555555555</v>
      </c>
      <c r="CH35" s="166">
        <v>31.85</v>
      </c>
      <c r="CI35" s="166">
        <v>34.299999999999997</v>
      </c>
      <c r="CJ35" s="166">
        <v>21.477777777777778</v>
      </c>
      <c r="CK35" s="166">
        <v>34.388888888888886</v>
      </c>
      <c r="CL35" s="166">
        <v>26.833333333333332</v>
      </c>
      <c r="CM35" s="166">
        <v>29.077777777777779</v>
      </c>
      <c r="CN35" s="166">
        <v>190.38333333333333</v>
      </c>
      <c r="CO35" s="166">
        <v>66.150000000000006</v>
      </c>
      <c r="CP35" s="166">
        <v>111.77777777777777</v>
      </c>
      <c r="CQ35" s="166">
        <v>287.5333333333333</v>
      </c>
      <c r="CR35" s="166">
        <v>368.31111111111107</v>
      </c>
      <c r="CS35" s="166">
        <v>399.31111111111107</v>
      </c>
      <c r="CT35" s="166">
        <v>60</v>
      </c>
      <c r="CU35" s="166">
        <v>2.3944444444444399</v>
      </c>
      <c r="CV35" s="166">
        <v>62.394444444444439</v>
      </c>
      <c r="CW35" s="166">
        <v>401.70555555555552</v>
      </c>
      <c r="CX35" s="166">
        <v>0</v>
      </c>
      <c r="CY35" s="166">
        <v>19</v>
      </c>
      <c r="CZ35" s="165">
        <v>2</v>
      </c>
      <c r="DA35" s="165">
        <v>21</v>
      </c>
      <c r="DB35" s="165">
        <v>30</v>
      </c>
      <c r="DC35" s="165">
        <v>29</v>
      </c>
      <c r="DD35" s="165">
        <v>38</v>
      </c>
      <c r="DE35" s="165">
        <v>34</v>
      </c>
      <c r="DF35" s="165">
        <v>44</v>
      </c>
      <c r="DG35" s="165">
        <v>33</v>
      </c>
      <c r="DH35" s="165">
        <v>31</v>
      </c>
      <c r="DI35" s="165">
        <v>34</v>
      </c>
      <c r="DJ35" s="165">
        <v>40</v>
      </c>
      <c r="DK35" s="165">
        <v>25</v>
      </c>
      <c r="DL35" s="165">
        <v>36</v>
      </c>
      <c r="DM35" s="165">
        <v>25</v>
      </c>
      <c r="DN35" s="165">
        <v>208</v>
      </c>
      <c r="DO35" s="165">
        <v>65</v>
      </c>
      <c r="DP35" s="165">
        <v>126</v>
      </c>
      <c r="DQ35" s="165">
        <v>294</v>
      </c>
      <c r="DR35" s="165">
        <v>399</v>
      </c>
      <c r="DS35" s="165">
        <v>420</v>
      </c>
      <c r="DT35" s="165">
        <v>0</v>
      </c>
      <c r="DU35" s="165">
        <v>216</v>
      </c>
      <c r="DV35" s="165">
        <v>61</v>
      </c>
      <c r="DW35" s="165">
        <v>2</v>
      </c>
      <c r="DX35" s="165">
        <v>63</v>
      </c>
      <c r="DY35" s="165">
        <v>422</v>
      </c>
      <c r="DZ35" s="165">
        <v>14</v>
      </c>
      <c r="EA35" s="166">
        <v>36.550000000000004</v>
      </c>
      <c r="EB35" s="166">
        <v>33.950000000000003</v>
      </c>
      <c r="EC35" s="166">
        <v>15.249999999999998</v>
      </c>
      <c r="ED35" s="166">
        <v>14.05</v>
      </c>
      <c r="EE35" s="166">
        <v>0.75</v>
      </c>
      <c r="EF35" s="166">
        <v>38.700000000000003</v>
      </c>
      <c r="EG35" s="167">
        <v>8.5222722722722688E-2</v>
      </c>
      <c r="EH35" s="165"/>
      <c r="EI35" s="165">
        <v>22</v>
      </c>
      <c r="EJ35" s="165">
        <v>415</v>
      </c>
      <c r="EK35" s="165"/>
      <c r="EL35" s="165"/>
      <c r="EM35" s="166"/>
      <c r="EN35" s="165">
        <v>437</v>
      </c>
      <c r="EO35" s="165">
        <v>13</v>
      </c>
      <c r="EP35" s="165">
        <v>65</v>
      </c>
      <c r="EQ35" s="165">
        <v>78</v>
      </c>
      <c r="ER35" s="165">
        <v>63</v>
      </c>
      <c r="ES35" s="165">
        <v>2</v>
      </c>
      <c r="ET35" s="165">
        <v>28</v>
      </c>
      <c r="EU35" s="166">
        <v>27</v>
      </c>
      <c r="EV35" s="166">
        <v>2</v>
      </c>
      <c r="EW35" s="166">
        <v>4</v>
      </c>
      <c r="EX35" s="166">
        <v>19</v>
      </c>
      <c r="EY35" s="166">
        <v>18</v>
      </c>
      <c r="EZ35" s="166">
        <v>70</v>
      </c>
      <c r="FA35" s="166">
        <v>1</v>
      </c>
      <c r="FB35" s="166">
        <v>19.633333333333333</v>
      </c>
      <c r="FC35" s="166">
        <v>20.633333333333333</v>
      </c>
      <c r="FD35" s="166">
        <v>30.883333333333333</v>
      </c>
      <c r="FE35" s="166">
        <v>25.283333333333335</v>
      </c>
      <c r="FF35" s="166">
        <v>34.93888888888889</v>
      </c>
      <c r="FG35" s="166">
        <v>33.75</v>
      </c>
      <c r="FH35" s="166">
        <v>43.538888888888891</v>
      </c>
      <c r="FI35" s="166">
        <v>32.488888888888887</v>
      </c>
      <c r="FJ35" s="166">
        <v>31.56111111111111</v>
      </c>
      <c r="FK35" s="166">
        <v>33.1</v>
      </c>
      <c r="FL35" s="166">
        <v>39.299999999999997</v>
      </c>
      <c r="FM35" s="166">
        <v>22.344444444444445</v>
      </c>
      <c r="FN35" s="166">
        <v>33.788888888888891</v>
      </c>
      <c r="FO35" s="166">
        <v>23.616666666666667</v>
      </c>
      <c r="FP35" s="166">
        <v>200.88333333333333</v>
      </c>
      <c r="FQ35" s="166">
        <v>64.661111111111111</v>
      </c>
      <c r="FR35" s="166">
        <v>119.05000000000001</v>
      </c>
      <c r="FS35" s="166">
        <v>286.17777777777775</v>
      </c>
      <c r="FT35" s="166">
        <v>384.59444444444443</v>
      </c>
      <c r="FU35" s="166">
        <v>405.22777777777776</v>
      </c>
      <c r="FV35" s="166">
        <v>58.294444444444444</v>
      </c>
      <c r="FW35" s="166">
        <v>2</v>
      </c>
      <c r="FX35" s="166">
        <v>60.294444444444444</v>
      </c>
      <c r="FY35" s="166">
        <v>407.22777777777776</v>
      </c>
      <c r="FZ35" s="165">
        <v>1</v>
      </c>
      <c r="GA35" s="165">
        <v>22</v>
      </c>
      <c r="GB35" s="165">
        <v>23</v>
      </c>
      <c r="GC35" s="165">
        <v>22</v>
      </c>
      <c r="GD35" s="165">
        <v>31</v>
      </c>
      <c r="GE35" s="165">
        <v>29</v>
      </c>
      <c r="GF35" s="165">
        <v>35</v>
      </c>
      <c r="GG35" s="165">
        <v>34</v>
      </c>
      <c r="GH35" s="165">
        <v>46</v>
      </c>
      <c r="GI35" s="165">
        <v>34</v>
      </c>
      <c r="GJ35" s="165">
        <v>29</v>
      </c>
      <c r="GK35" s="165">
        <v>33</v>
      </c>
      <c r="GL35" s="165">
        <v>39</v>
      </c>
      <c r="GM35" s="165">
        <v>17</v>
      </c>
      <c r="GN35" s="165">
        <v>34</v>
      </c>
      <c r="GO35" s="165">
        <v>197</v>
      </c>
      <c r="GP35" s="165">
        <v>63</v>
      </c>
      <c r="GQ35" s="165">
        <v>123</v>
      </c>
      <c r="GR35" s="165">
        <v>283</v>
      </c>
      <c r="GS35" s="165">
        <v>383</v>
      </c>
      <c r="GT35" s="165">
        <v>406</v>
      </c>
      <c r="GU35" s="165">
        <v>0</v>
      </c>
      <c r="GV35" s="165">
        <v>220</v>
      </c>
      <c r="GW35" s="165">
        <v>60</v>
      </c>
      <c r="GX35" s="165">
        <v>2</v>
      </c>
      <c r="GY35" s="165">
        <v>62</v>
      </c>
      <c r="GZ35" s="165">
        <v>408</v>
      </c>
      <c r="HA35" s="165">
        <v>11</v>
      </c>
      <c r="HB35" s="166">
        <v>36</v>
      </c>
      <c r="HC35" s="166">
        <v>33.599999999999994</v>
      </c>
      <c r="HD35" s="166">
        <v>14.5</v>
      </c>
      <c r="HE35" s="166">
        <v>15.530000000000001</v>
      </c>
      <c r="HF35" s="166"/>
      <c r="HG35" s="166">
        <v>38.15</v>
      </c>
      <c r="HH35" s="166">
        <v>12</v>
      </c>
      <c r="HI35" s="166">
        <v>61</v>
      </c>
      <c r="HJ35" s="166">
        <v>73</v>
      </c>
      <c r="HK35" s="166">
        <v>59</v>
      </c>
      <c r="HL35" s="166">
        <v>2</v>
      </c>
      <c r="HM35" s="166">
        <v>34</v>
      </c>
      <c r="HN35" s="166">
        <v>22</v>
      </c>
      <c r="HO35" s="166">
        <v>368</v>
      </c>
      <c r="HP35" s="166">
        <v>0</v>
      </c>
      <c r="HQ35" s="166">
        <v>0</v>
      </c>
      <c r="HR35" s="166">
        <v>0</v>
      </c>
      <c r="HS35" s="166">
        <v>390</v>
      </c>
      <c r="HT35" s="166">
        <f>FY26_FE_Data_April15[[#This Row],[Oct 1, 2026 (CDC) - K]]+FY26_FE_Data_April15[[#This Row],[Oct 1, 2026 (CDC) - Grades 1-6]]+FY26_FE_Data_April15[[#This Row],[Oct 1, 2026 (CDC) - Grades 7-8]]</f>
        <v>22</v>
      </c>
      <c r="HU35" s="166">
        <v>0</v>
      </c>
    </row>
    <row r="36" spans="1:233" ht="26">
      <c r="A36" s="158">
        <v>35</v>
      </c>
      <c r="B36" s="159" t="s">
        <v>351</v>
      </c>
      <c r="C36" s="160" t="s">
        <v>352</v>
      </c>
      <c r="D36" s="160" t="s">
        <v>87</v>
      </c>
      <c r="E36" s="159" t="s">
        <v>784</v>
      </c>
      <c r="F36" s="159" t="s">
        <v>784</v>
      </c>
      <c r="G36" s="159"/>
      <c r="H36" s="161">
        <v>3832.1166666666668</v>
      </c>
      <c r="I36" s="161">
        <v>466.94444444444446</v>
      </c>
      <c r="J36" s="161">
        <v>4299.0611111111111</v>
      </c>
      <c r="K36" s="162">
        <v>2057</v>
      </c>
      <c r="L36" s="162">
        <v>14252</v>
      </c>
      <c r="M36" s="162">
        <v>5372</v>
      </c>
      <c r="N36" s="162">
        <v>10876</v>
      </c>
      <c r="O36" s="162">
        <v>32557</v>
      </c>
      <c r="P36" s="162">
        <v>30500</v>
      </c>
      <c r="Q36" s="162">
        <v>21681</v>
      </c>
      <c r="R36" s="162">
        <v>488</v>
      </c>
      <c r="S36" s="160">
        <v>2003.088888888889</v>
      </c>
      <c r="T36" s="160">
        <v>2323.4888888888891</v>
      </c>
      <c r="U36" s="160">
        <v>2284.1055555555554</v>
      </c>
      <c r="V36" s="160">
        <v>2265.9055555555556</v>
      </c>
      <c r="W36" s="160">
        <v>2350.9166666666665</v>
      </c>
      <c r="X36" s="160">
        <v>2416.3444444444444</v>
      </c>
      <c r="Y36" s="160">
        <v>2406.4277777777779</v>
      </c>
      <c r="Z36" s="160">
        <v>2649.7388888888891</v>
      </c>
      <c r="AA36" s="160">
        <v>2624.6333333333332</v>
      </c>
      <c r="AB36" s="160">
        <v>2834.1555555555556</v>
      </c>
      <c r="AC36" s="160">
        <v>2694.6166666666668</v>
      </c>
      <c r="AD36" s="160">
        <v>2463.9777777777776</v>
      </c>
      <c r="AE36" s="160">
        <v>2353.0333333333333</v>
      </c>
      <c r="AF36" s="160">
        <v>14047.18888888889</v>
      </c>
      <c r="AG36" s="160">
        <v>5274.3722222222223</v>
      </c>
      <c r="AH36" s="160">
        <v>10345.783333333333</v>
      </c>
      <c r="AI36" s="160">
        <v>21324.65</v>
      </c>
      <c r="AJ36" s="160">
        <v>29667.344444444447</v>
      </c>
      <c r="AK36" s="160">
        <v>31670.433333333334</v>
      </c>
      <c r="AL36" s="161">
        <v>3897.4555555555557</v>
      </c>
      <c r="AM36" s="161">
        <v>451.21666666666664</v>
      </c>
      <c r="AN36" s="161">
        <v>4348.6722222222224</v>
      </c>
      <c r="AO36" s="161">
        <v>32121.65</v>
      </c>
      <c r="AP36" s="162">
        <v>1923</v>
      </c>
      <c r="AQ36" s="168">
        <v>2144</v>
      </c>
      <c r="AR36" s="160">
        <v>2382</v>
      </c>
      <c r="AS36" s="160">
        <v>2346</v>
      </c>
      <c r="AT36" s="160">
        <v>2319</v>
      </c>
      <c r="AU36" s="160">
        <v>2415</v>
      </c>
      <c r="AV36" s="160">
        <v>2455</v>
      </c>
      <c r="AW36" s="160">
        <v>2616</v>
      </c>
      <c r="AX36" s="160">
        <v>2704</v>
      </c>
      <c r="AY36" s="160">
        <v>2645</v>
      </c>
      <c r="AZ36" s="160">
        <v>2853</v>
      </c>
      <c r="BA36" s="160">
        <v>2741</v>
      </c>
      <c r="BB36" s="160">
        <v>2560</v>
      </c>
      <c r="BC36" s="160">
        <v>14061</v>
      </c>
      <c r="BD36" s="160">
        <v>5320</v>
      </c>
      <c r="BE36" s="160">
        <v>10799</v>
      </c>
      <c r="BF36" s="160">
        <v>21304</v>
      </c>
      <c r="BG36" s="160">
        <v>30180</v>
      </c>
      <c r="BH36" s="160">
        <v>32103</v>
      </c>
      <c r="BI36" s="160">
        <v>1813</v>
      </c>
      <c r="BJ36" s="160">
        <v>110</v>
      </c>
      <c r="BK36" s="160">
        <v>23</v>
      </c>
      <c r="BL36" s="160">
        <v>9744</v>
      </c>
      <c r="BM36" s="160">
        <v>3901</v>
      </c>
      <c r="BN36" s="162">
        <v>466</v>
      </c>
      <c r="BO36" s="162">
        <v>4367</v>
      </c>
      <c r="BP36" s="162">
        <v>1486</v>
      </c>
      <c r="BQ36" s="163">
        <v>9.4484030563907029E-2</v>
      </c>
      <c r="BR36" s="164">
        <v>1776.5059999999992</v>
      </c>
      <c r="BS36" s="164">
        <v>1700.7959999999991</v>
      </c>
      <c r="BT36" s="164">
        <v>1621.2938000000001</v>
      </c>
      <c r="BU36" s="164">
        <v>1780.2060000000004</v>
      </c>
      <c r="BV36" s="165">
        <v>14</v>
      </c>
      <c r="BW36" s="165">
        <v>20</v>
      </c>
      <c r="BX36" s="166">
        <v>491.955555</v>
      </c>
      <c r="BY36" s="166">
        <v>131.09444400000001</v>
      </c>
      <c r="BZ36" s="166">
        <v>1752.577777</v>
      </c>
      <c r="CA36" s="166">
        <v>1883.6722222222222</v>
      </c>
      <c r="CB36" s="166">
        <v>2123.1888888888889</v>
      </c>
      <c r="CC36" s="166">
        <v>2350.8555555555554</v>
      </c>
      <c r="CD36" s="166">
        <v>2332</v>
      </c>
      <c r="CE36" s="166">
        <v>2300.5</v>
      </c>
      <c r="CF36" s="166">
        <v>2387.6999999999998</v>
      </c>
      <c r="CG36" s="166">
        <v>2429.1111111111113</v>
      </c>
      <c r="CH36" s="166">
        <v>2579.5333333333333</v>
      </c>
      <c r="CI36" s="166">
        <v>2669.8833333333332</v>
      </c>
      <c r="CJ36" s="166">
        <v>2615.6833333333334</v>
      </c>
      <c r="CK36" s="166">
        <v>2828.6388888888887</v>
      </c>
      <c r="CL36" s="166">
        <v>2717.5611111111111</v>
      </c>
      <c r="CM36" s="166">
        <v>2438.4222222222224</v>
      </c>
      <c r="CN36" s="166">
        <v>13923.355555555556</v>
      </c>
      <c r="CO36" s="166">
        <v>5249.4166666666661</v>
      </c>
      <c r="CP36" s="166">
        <v>10600.305555555555</v>
      </c>
      <c r="CQ36" s="166">
        <v>21056.444444444445</v>
      </c>
      <c r="CR36" s="166">
        <v>29773.07777777778</v>
      </c>
      <c r="CS36" s="166">
        <v>31656.750000000004</v>
      </c>
      <c r="CT36" s="166">
        <v>3962.8277777777798</v>
      </c>
      <c r="CU36" s="166">
        <v>464.16666666666703</v>
      </c>
      <c r="CV36" s="166">
        <v>4426.9944444444473</v>
      </c>
      <c r="CW36" s="166">
        <v>32120.916666666672</v>
      </c>
      <c r="CX36" s="166">
        <v>502.9</v>
      </c>
      <c r="CY36" s="166">
        <v>1899</v>
      </c>
      <c r="CZ36" s="165">
        <v>19</v>
      </c>
      <c r="DA36" s="165">
        <v>1918</v>
      </c>
      <c r="DB36" s="165">
        <v>1966</v>
      </c>
      <c r="DC36" s="165">
        <v>2155</v>
      </c>
      <c r="DD36" s="165">
        <v>2381</v>
      </c>
      <c r="DE36" s="165">
        <v>2385</v>
      </c>
      <c r="DF36" s="165">
        <v>2328</v>
      </c>
      <c r="DG36" s="165">
        <v>2416</v>
      </c>
      <c r="DH36" s="165">
        <v>2591</v>
      </c>
      <c r="DI36" s="165">
        <v>2614</v>
      </c>
      <c r="DJ36" s="165">
        <v>2707</v>
      </c>
      <c r="DK36" s="165">
        <v>2689</v>
      </c>
      <c r="DL36" s="165">
        <v>2856</v>
      </c>
      <c r="DM36" s="165">
        <v>2741</v>
      </c>
      <c r="DN36" s="165">
        <v>13631</v>
      </c>
      <c r="DO36" s="165">
        <v>5205</v>
      </c>
      <c r="DP36" s="165">
        <v>10993</v>
      </c>
      <c r="DQ36" s="165">
        <v>20754</v>
      </c>
      <c r="DR36" s="165">
        <v>29829</v>
      </c>
      <c r="DS36" s="165">
        <v>31747</v>
      </c>
      <c r="DT36" s="165">
        <v>22</v>
      </c>
      <c r="DU36" s="165">
        <v>9617</v>
      </c>
      <c r="DV36" s="165">
        <v>3975</v>
      </c>
      <c r="DW36" s="165">
        <v>475</v>
      </c>
      <c r="DX36" s="165">
        <v>4450</v>
      </c>
      <c r="DY36" s="165">
        <v>32222</v>
      </c>
      <c r="DZ36" s="165">
        <v>1433</v>
      </c>
      <c r="EA36" s="166">
        <v>1852.8256000000006</v>
      </c>
      <c r="EB36" s="166">
        <v>1772.9036000000003</v>
      </c>
      <c r="EC36" s="166">
        <v>766.50199999999995</v>
      </c>
      <c r="ED36" s="166">
        <v>696.79599999999891</v>
      </c>
      <c r="EE36" s="166">
        <v>0</v>
      </c>
      <c r="EF36" s="166">
        <v>1881.2775999999999</v>
      </c>
      <c r="EG36" s="167">
        <v>9.4023438974831564E-2</v>
      </c>
      <c r="EH36" s="165"/>
      <c r="EI36" s="165">
        <v>1895</v>
      </c>
      <c r="EJ36" s="165">
        <v>29477</v>
      </c>
      <c r="EK36" s="165"/>
      <c r="EL36" s="165"/>
      <c r="EM36" s="166"/>
      <c r="EN36" s="165">
        <v>31372</v>
      </c>
      <c r="EO36" s="165">
        <v>287</v>
      </c>
      <c r="EP36" s="165">
        <v>4431</v>
      </c>
      <c r="EQ36" s="165">
        <v>4718</v>
      </c>
      <c r="ER36" s="165">
        <v>3925</v>
      </c>
      <c r="ES36" s="165">
        <v>506</v>
      </c>
      <c r="ET36" s="165">
        <v>48</v>
      </c>
      <c r="EU36" s="166">
        <v>644.5</v>
      </c>
      <c r="EV36" s="166">
        <v>32</v>
      </c>
      <c r="EW36" s="166">
        <v>97.5</v>
      </c>
      <c r="EX36" s="166">
        <v>359.5</v>
      </c>
      <c r="EY36" s="166">
        <v>365.5</v>
      </c>
      <c r="EZ36" s="166">
        <v>1499</v>
      </c>
      <c r="FA36" s="166">
        <v>19.649999999999999</v>
      </c>
      <c r="FB36" s="166">
        <v>1863.0277777777778</v>
      </c>
      <c r="FC36" s="166">
        <v>1882.6777777777777</v>
      </c>
      <c r="FD36" s="166">
        <v>1927.8666666666666</v>
      </c>
      <c r="FE36" s="166">
        <v>2119.7166666666667</v>
      </c>
      <c r="FF36" s="166">
        <v>2333.4944444444445</v>
      </c>
      <c r="FG36" s="166">
        <v>2342.2944444444443</v>
      </c>
      <c r="FH36" s="166">
        <v>2292.9666666666667</v>
      </c>
      <c r="FI36" s="166">
        <v>2396.9944444444445</v>
      </c>
      <c r="FJ36" s="166">
        <v>2545.2944444444443</v>
      </c>
      <c r="FK36" s="166">
        <v>2563.8000000000002</v>
      </c>
      <c r="FL36" s="166">
        <v>2660.5055555555555</v>
      </c>
      <c r="FM36" s="166">
        <v>2623.5833333333335</v>
      </c>
      <c r="FN36" s="166">
        <v>2791.0166666666669</v>
      </c>
      <c r="FO36" s="166">
        <v>2625.4888888888891</v>
      </c>
      <c r="FP36" s="166">
        <v>13413.333333333334</v>
      </c>
      <c r="FQ36" s="166">
        <v>5109.0944444444449</v>
      </c>
      <c r="FR36" s="166">
        <v>10700.594444444445</v>
      </c>
      <c r="FS36" s="166">
        <v>20405.105555555554</v>
      </c>
      <c r="FT36" s="166">
        <v>29223.022222222222</v>
      </c>
      <c r="FU36" s="166">
        <v>31105.699999999997</v>
      </c>
      <c r="FV36" s="166">
        <v>3969.2833333333333</v>
      </c>
      <c r="FW36" s="166">
        <v>496.9111111111111</v>
      </c>
      <c r="FX36" s="166">
        <v>4466.1944444444443</v>
      </c>
      <c r="FY36" s="166">
        <v>31602.611111111109</v>
      </c>
      <c r="FZ36" s="165">
        <v>52</v>
      </c>
      <c r="GA36" s="165">
        <v>1703</v>
      </c>
      <c r="GB36" s="165">
        <v>1755</v>
      </c>
      <c r="GC36" s="165">
        <v>2004</v>
      </c>
      <c r="GD36" s="165">
        <v>1991</v>
      </c>
      <c r="GE36" s="165">
        <v>2159</v>
      </c>
      <c r="GF36" s="165">
        <v>2402</v>
      </c>
      <c r="GG36" s="165">
        <v>2363</v>
      </c>
      <c r="GH36" s="165">
        <v>2349</v>
      </c>
      <c r="GI36" s="165">
        <v>2538</v>
      </c>
      <c r="GJ36" s="165">
        <v>2571</v>
      </c>
      <c r="GK36" s="165">
        <v>2602</v>
      </c>
      <c r="GL36" s="165">
        <v>2779</v>
      </c>
      <c r="GM36" s="165">
        <v>2631</v>
      </c>
      <c r="GN36" s="165">
        <v>2824</v>
      </c>
      <c r="GO36" s="165">
        <v>13268</v>
      </c>
      <c r="GP36" s="165">
        <v>5109</v>
      </c>
      <c r="GQ36" s="165">
        <v>10836</v>
      </c>
      <c r="GR36" s="165">
        <v>20132</v>
      </c>
      <c r="GS36" s="165">
        <v>29213</v>
      </c>
      <c r="GT36" s="165">
        <v>30968</v>
      </c>
      <c r="GU36" s="165">
        <v>22</v>
      </c>
      <c r="GV36" s="165">
        <v>6902</v>
      </c>
      <c r="GW36" s="165">
        <v>3964</v>
      </c>
      <c r="GX36" s="165">
        <v>506</v>
      </c>
      <c r="GY36" s="165">
        <v>4470</v>
      </c>
      <c r="GZ36" s="165">
        <v>31474</v>
      </c>
      <c r="HA36" s="165">
        <v>1383</v>
      </c>
      <c r="HB36" s="166">
        <v>1836.4900000000014</v>
      </c>
      <c r="HC36" s="166">
        <v>1758.5680000000013</v>
      </c>
      <c r="HD36" s="166">
        <v>745.67899999999997</v>
      </c>
      <c r="HE36" s="166">
        <v>747.1790000000002</v>
      </c>
      <c r="HF36" s="166"/>
      <c r="HG36" s="166">
        <v>1866.5650000000001</v>
      </c>
      <c r="HH36" s="166">
        <v>286</v>
      </c>
      <c r="HI36" s="166">
        <v>4420</v>
      </c>
      <c r="HJ36" s="166">
        <v>4706</v>
      </c>
      <c r="HK36" s="166">
        <v>3921</v>
      </c>
      <c r="HL36" s="166">
        <v>499</v>
      </c>
      <c r="HM36" s="166">
        <v>59</v>
      </c>
      <c r="HN36" s="166">
        <v>1709</v>
      </c>
      <c r="HO36" s="166">
        <v>28442</v>
      </c>
      <c r="HP36" s="166">
        <v>0</v>
      </c>
      <c r="HQ36" s="166">
        <v>0</v>
      </c>
      <c r="HR36" s="166">
        <v>0</v>
      </c>
      <c r="HS36" s="166">
        <v>30151</v>
      </c>
      <c r="HT36" s="166">
        <f>FY26_FE_Data_April15[[#This Row],[Oct 1, 2026 (CDC) - K]]+FY26_FE_Data_April15[[#This Row],[Oct 1, 2026 (CDC) - Grades 1-6]]+FY26_FE_Data_April15[[#This Row],[Oct 1, 2026 (CDC) - Grades 7-8]]</f>
        <v>1709</v>
      </c>
      <c r="HU36" s="166">
        <v>536.91111100000001</v>
      </c>
    </row>
    <row r="37" spans="1:233" ht="26">
      <c r="A37" s="158">
        <v>36</v>
      </c>
      <c r="B37" s="159" t="s">
        <v>353</v>
      </c>
      <c r="C37" s="160" t="s">
        <v>354</v>
      </c>
      <c r="D37" s="160" t="s">
        <v>87</v>
      </c>
      <c r="E37" s="159" t="s">
        <v>784</v>
      </c>
      <c r="F37" s="159" t="s">
        <v>784</v>
      </c>
      <c r="G37" s="159"/>
      <c r="H37" s="161">
        <v>1896.2444444444445</v>
      </c>
      <c r="I37" s="161">
        <v>600.01111111111106</v>
      </c>
      <c r="J37" s="161">
        <v>2496.2555555555555</v>
      </c>
      <c r="K37" s="162">
        <v>1369</v>
      </c>
      <c r="L37" s="162">
        <v>8244</v>
      </c>
      <c r="M37" s="162">
        <v>2914</v>
      </c>
      <c r="N37" s="162">
        <v>6922</v>
      </c>
      <c r="O37" s="162">
        <v>19449</v>
      </c>
      <c r="P37" s="162">
        <v>18080</v>
      </c>
      <c r="Q37" s="162">
        <v>12527</v>
      </c>
      <c r="R37" s="162">
        <v>560</v>
      </c>
      <c r="S37" s="160">
        <v>1342.5222222222221</v>
      </c>
      <c r="T37" s="160">
        <v>1384.65</v>
      </c>
      <c r="U37" s="160">
        <v>1305.3222222222223</v>
      </c>
      <c r="V37" s="160">
        <v>1389.9833333333333</v>
      </c>
      <c r="W37" s="160">
        <v>1382.55</v>
      </c>
      <c r="X37" s="160">
        <v>1245.6277777777777</v>
      </c>
      <c r="Y37" s="160">
        <v>1357.9611111111112</v>
      </c>
      <c r="Z37" s="160">
        <v>1355.4222222222222</v>
      </c>
      <c r="AA37" s="160">
        <v>1486.7888888888888</v>
      </c>
      <c r="AB37" s="160">
        <v>1631.6944444444443</v>
      </c>
      <c r="AC37" s="160">
        <v>1647.1333333333334</v>
      </c>
      <c r="AD37" s="160">
        <v>1655.3944444444444</v>
      </c>
      <c r="AE37" s="160">
        <v>1539.5722222222223</v>
      </c>
      <c r="AF37" s="160">
        <v>8066.0944444444449</v>
      </c>
      <c r="AG37" s="160">
        <v>2842.2111111111108</v>
      </c>
      <c r="AH37" s="160">
        <v>6473.7944444444438</v>
      </c>
      <c r="AI37" s="160">
        <v>12250.827777777777</v>
      </c>
      <c r="AJ37" s="160">
        <v>17382.099999999999</v>
      </c>
      <c r="AK37" s="160">
        <v>18724.62222222222</v>
      </c>
      <c r="AL37" s="161">
        <v>1988.8833333333334</v>
      </c>
      <c r="AM37" s="161">
        <v>575.25</v>
      </c>
      <c r="AN37" s="161">
        <v>2564.1333333333332</v>
      </c>
      <c r="AO37" s="161">
        <v>19299.87222222222</v>
      </c>
      <c r="AP37" s="162">
        <v>1240</v>
      </c>
      <c r="AQ37" s="168">
        <v>1387</v>
      </c>
      <c r="AR37" s="160">
        <v>1422</v>
      </c>
      <c r="AS37" s="160">
        <v>1347</v>
      </c>
      <c r="AT37" s="160">
        <v>1430</v>
      </c>
      <c r="AU37" s="160">
        <v>1352</v>
      </c>
      <c r="AV37" s="160">
        <v>1278</v>
      </c>
      <c r="AW37" s="160">
        <v>1383</v>
      </c>
      <c r="AX37" s="160">
        <v>1379</v>
      </c>
      <c r="AY37" s="160">
        <v>1629</v>
      </c>
      <c r="AZ37" s="160">
        <v>1721</v>
      </c>
      <c r="BA37" s="160">
        <v>1678</v>
      </c>
      <c r="BB37" s="160">
        <v>1720</v>
      </c>
      <c r="BC37" s="160">
        <v>8216</v>
      </c>
      <c r="BD37" s="160">
        <v>2762</v>
      </c>
      <c r="BE37" s="160">
        <v>6748</v>
      </c>
      <c r="BF37" s="160">
        <v>12218</v>
      </c>
      <c r="BG37" s="160">
        <v>17726</v>
      </c>
      <c r="BH37" s="160">
        <v>18966</v>
      </c>
      <c r="BI37" s="160">
        <v>1229</v>
      </c>
      <c r="BJ37" s="160">
        <v>11</v>
      </c>
      <c r="BK37" s="160">
        <v>16</v>
      </c>
      <c r="BL37" s="160">
        <v>10263</v>
      </c>
      <c r="BM37" s="160">
        <v>1936</v>
      </c>
      <c r="BN37" s="162">
        <v>588</v>
      </c>
      <c r="BO37" s="162">
        <v>2524</v>
      </c>
      <c r="BP37" s="162">
        <v>4091</v>
      </c>
      <c r="BQ37" s="163">
        <v>0.1127288653728295</v>
      </c>
      <c r="BR37" s="164">
        <v>1391.7259999999994</v>
      </c>
      <c r="BS37" s="164">
        <v>1314.2979999999995</v>
      </c>
      <c r="BT37" s="164">
        <v>1181.4399999999996</v>
      </c>
      <c r="BU37" s="164">
        <v>1356.6310000000003</v>
      </c>
      <c r="BV37" s="165">
        <v>0</v>
      </c>
      <c r="BW37" s="165">
        <v>0</v>
      </c>
      <c r="BX37" s="166">
        <v>0</v>
      </c>
      <c r="BY37" s="166">
        <v>11.872222000000001</v>
      </c>
      <c r="BZ37" s="166">
        <v>1207.516666</v>
      </c>
      <c r="CA37" s="166">
        <v>1219.3888888888889</v>
      </c>
      <c r="CB37" s="166">
        <v>1354.0333333333333</v>
      </c>
      <c r="CC37" s="166">
        <v>1381.7055555555555</v>
      </c>
      <c r="CD37" s="166">
        <v>1320.9055555555556</v>
      </c>
      <c r="CE37" s="166">
        <v>1395.7666666666667</v>
      </c>
      <c r="CF37" s="166">
        <v>1306.3444444444444</v>
      </c>
      <c r="CG37" s="166">
        <v>1236.05</v>
      </c>
      <c r="CH37" s="166">
        <v>1335.7277777777779</v>
      </c>
      <c r="CI37" s="166">
        <v>1337.0055555555555</v>
      </c>
      <c r="CJ37" s="166">
        <v>1559.8333333333333</v>
      </c>
      <c r="CK37" s="166">
        <v>1647.95</v>
      </c>
      <c r="CL37" s="166">
        <v>1605.0388888888888</v>
      </c>
      <c r="CM37" s="166">
        <v>1563.4388888888889</v>
      </c>
      <c r="CN37" s="166">
        <v>7994.8055555555557</v>
      </c>
      <c r="CO37" s="166">
        <v>2672.7333333333336</v>
      </c>
      <c r="CP37" s="166">
        <v>6376.2611111111109</v>
      </c>
      <c r="CQ37" s="166">
        <v>11886.927777777777</v>
      </c>
      <c r="CR37" s="166">
        <v>17043.8</v>
      </c>
      <c r="CS37" s="166">
        <v>18263.18888888889</v>
      </c>
      <c r="CT37" s="166">
        <v>2053.0833333333298</v>
      </c>
      <c r="CU37" s="166">
        <v>582.16111111111104</v>
      </c>
      <c r="CV37" s="166">
        <v>2635.2444444444409</v>
      </c>
      <c r="CW37" s="166">
        <v>18845.350000000002</v>
      </c>
      <c r="CX37" s="166">
        <v>0</v>
      </c>
      <c r="CY37" s="166">
        <v>1200</v>
      </c>
      <c r="CZ37" s="165">
        <v>0</v>
      </c>
      <c r="DA37" s="165">
        <v>1200</v>
      </c>
      <c r="DB37" s="165">
        <v>1302</v>
      </c>
      <c r="DC37" s="165">
        <v>1397</v>
      </c>
      <c r="DD37" s="165">
        <v>1381</v>
      </c>
      <c r="DE37" s="165">
        <v>1374</v>
      </c>
      <c r="DF37" s="165">
        <v>1377</v>
      </c>
      <c r="DG37" s="165">
        <v>1338</v>
      </c>
      <c r="DH37" s="165">
        <v>1311</v>
      </c>
      <c r="DI37" s="165">
        <v>1385</v>
      </c>
      <c r="DJ37" s="165">
        <v>1489</v>
      </c>
      <c r="DK37" s="165">
        <v>1607</v>
      </c>
      <c r="DL37" s="165">
        <v>1722</v>
      </c>
      <c r="DM37" s="165">
        <v>1652</v>
      </c>
      <c r="DN37" s="165">
        <v>8169</v>
      </c>
      <c r="DO37" s="165">
        <v>2696</v>
      </c>
      <c r="DP37" s="165">
        <v>6470</v>
      </c>
      <c r="DQ37" s="165">
        <v>12065</v>
      </c>
      <c r="DR37" s="165">
        <v>17335</v>
      </c>
      <c r="DS37" s="165">
        <v>18535</v>
      </c>
      <c r="DT37" s="165">
        <v>9</v>
      </c>
      <c r="DU37" s="165">
        <v>10496</v>
      </c>
      <c r="DV37" s="165">
        <v>1973</v>
      </c>
      <c r="DW37" s="165">
        <v>581</v>
      </c>
      <c r="DX37" s="165">
        <v>2554</v>
      </c>
      <c r="DY37" s="165">
        <v>19116</v>
      </c>
      <c r="DZ37" s="165">
        <v>4171</v>
      </c>
      <c r="EA37" s="166">
        <v>1381.7959999999996</v>
      </c>
      <c r="EB37" s="166">
        <v>1307.9279999999997</v>
      </c>
      <c r="EC37" s="166">
        <v>582.49500000000012</v>
      </c>
      <c r="ED37" s="166">
        <v>453.12899999999985</v>
      </c>
      <c r="EE37" s="166">
        <v>1</v>
      </c>
      <c r="EF37" s="166">
        <v>1390.9560000000004</v>
      </c>
      <c r="EG37" s="167">
        <v>0.11166553965852766</v>
      </c>
      <c r="EH37" s="165"/>
      <c r="EI37" s="165">
        <v>1165</v>
      </c>
      <c r="EJ37" s="165">
        <v>16835</v>
      </c>
      <c r="EK37" s="165"/>
      <c r="EL37" s="165"/>
      <c r="EM37" s="166"/>
      <c r="EN37" s="165">
        <v>18000</v>
      </c>
      <c r="EO37" s="165">
        <v>152</v>
      </c>
      <c r="EP37" s="165">
        <v>2544</v>
      </c>
      <c r="EQ37" s="165">
        <v>2696</v>
      </c>
      <c r="ER37" s="165">
        <v>1960</v>
      </c>
      <c r="ES37" s="165">
        <v>584</v>
      </c>
      <c r="ET37" s="165">
        <v>158</v>
      </c>
      <c r="EU37" s="166">
        <v>588.63</v>
      </c>
      <c r="EV37" s="166">
        <v>5</v>
      </c>
      <c r="EW37" s="166">
        <v>121.87</v>
      </c>
      <c r="EX37" s="166">
        <v>52</v>
      </c>
      <c r="EY37" s="166">
        <v>595</v>
      </c>
      <c r="EZ37" s="166">
        <v>1362.5</v>
      </c>
      <c r="FA37" s="166">
        <v>0</v>
      </c>
      <c r="FB37" s="166">
        <v>1163.8888888888889</v>
      </c>
      <c r="FC37" s="166">
        <v>1163.8888888888889</v>
      </c>
      <c r="FD37" s="166">
        <v>1241.6777777777777</v>
      </c>
      <c r="FE37" s="166">
        <v>1339.2388888888888</v>
      </c>
      <c r="FF37" s="166">
        <v>1337.0388888888888</v>
      </c>
      <c r="FG37" s="166">
        <v>1325.5</v>
      </c>
      <c r="FH37" s="166">
        <v>1328.1444444444444</v>
      </c>
      <c r="FI37" s="166">
        <v>1269.0666666666666</v>
      </c>
      <c r="FJ37" s="166">
        <v>1228.5722222222223</v>
      </c>
      <c r="FK37" s="166">
        <v>1324.1888888888889</v>
      </c>
      <c r="FL37" s="166">
        <v>1416.9222222222222</v>
      </c>
      <c r="FM37" s="166">
        <v>1525.4555555555555</v>
      </c>
      <c r="FN37" s="166">
        <v>1615.8833333333334</v>
      </c>
      <c r="FO37" s="166">
        <v>1519.5611111111111</v>
      </c>
      <c r="FP37" s="166">
        <v>7840.6666666666661</v>
      </c>
      <c r="FQ37" s="166">
        <v>2552.7611111111109</v>
      </c>
      <c r="FR37" s="166">
        <v>6077.8222222222221</v>
      </c>
      <c r="FS37" s="166">
        <v>11557.316666666666</v>
      </c>
      <c r="FT37" s="166">
        <v>16471.25</v>
      </c>
      <c r="FU37" s="166">
        <v>17635.138888888887</v>
      </c>
      <c r="FV37" s="166">
        <v>1972.3944444444444</v>
      </c>
      <c r="FW37" s="166">
        <v>585.31111111111113</v>
      </c>
      <c r="FX37" s="166">
        <v>2557.7055555555553</v>
      </c>
      <c r="FY37" s="166">
        <v>18220.449999999997</v>
      </c>
      <c r="FZ37" s="165">
        <v>0</v>
      </c>
      <c r="GA37" s="165">
        <v>1201</v>
      </c>
      <c r="GB37" s="165">
        <v>1201</v>
      </c>
      <c r="GC37" s="165">
        <v>1230</v>
      </c>
      <c r="GD37" s="165">
        <v>1246</v>
      </c>
      <c r="GE37" s="165">
        <v>1350</v>
      </c>
      <c r="GF37" s="165">
        <v>1331</v>
      </c>
      <c r="GG37" s="165">
        <v>1289</v>
      </c>
      <c r="GH37" s="165">
        <v>1341</v>
      </c>
      <c r="GI37" s="165">
        <v>1292</v>
      </c>
      <c r="GJ37" s="165">
        <v>1252</v>
      </c>
      <c r="GK37" s="165">
        <v>1435</v>
      </c>
      <c r="GL37" s="165">
        <v>1438</v>
      </c>
      <c r="GM37" s="165">
        <v>1534</v>
      </c>
      <c r="GN37" s="165">
        <v>1710</v>
      </c>
      <c r="GO37" s="165">
        <v>7787</v>
      </c>
      <c r="GP37" s="165">
        <v>2544</v>
      </c>
      <c r="GQ37" s="165">
        <v>6117</v>
      </c>
      <c r="GR37" s="165">
        <v>11532</v>
      </c>
      <c r="GS37" s="165">
        <v>16448</v>
      </c>
      <c r="GT37" s="165">
        <v>17649</v>
      </c>
      <c r="GU37" s="165">
        <v>11</v>
      </c>
      <c r="GV37" s="165">
        <v>8727</v>
      </c>
      <c r="GW37" s="165">
        <v>1908</v>
      </c>
      <c r="GX37" s="165">
        <v>559</v>
      </c>
      <c r="GY37" s="165">
        <v>2467</v>
      </c>
      <c r="GZ37" s="165">
        <v>18208</v>
      </c>
      <c r="HA37" s="165">
        <v>3732</v>
      </c>
      <c r="HB37" s="166">
        <v>1341.115</v>
      </c>
      <c r="HC37" s="166">
        <v>1266.6150000000002</v>
      </c>
      <c r="HD37" s="166">
        <v>557.83300000000008</v>
      </c>
      <c r="HE37" s="166">
        <v>434.30700000000002</v>
      </c>
      <c r="HF37" s="166"/>
      <c r="HG37" s="166">
        <v>1349.4549999999999</v>
      </c>
      <c r="HH37" s="166">
        <v>128</v>
      </c>
      <c r="HI37" s="166">
        <v>2443</v>
      </c>
      <c r="HJ37" s="166">
        <v>2571</v>
      </c>
      <c r="HK37" s="166">
        <v>1883</v>
      </c>
      <c r="HL37" s="166">
        <v>560</v>
      </c>
      <c r="HM37" s="166">
        <v>0</v>
      </c>
      <c r="HN37" s="166">
        <v>1153</v>
      </c>
      <c r="HO37" s="166">
        <v>15784</v>
      </c>
      <c r="HP37" s="166">
        <v>0</v>
      </c>
      <c r="HQ37" s="166">
        <v>0</v>
      </c>
      <c r="HR37" s="166">
        <v>0</v>
      </c>
      <c r="HS37" s="166">
        <v>16937</v>
      </c>
      <c r="HT37" s="166">
        <f>FY26_FE_Data_April15[[#This Row],[Oct 1, 2026 (CDC) - K]]+FY26_FE_Data_April15[[#This Row],[Oct 1, 2026 (CDC) - Grades 1-6]]+FY26_FE_Data_April15[[#This Row],[Oct 1, 2026 (CDC) - Grades 7-8]]</f>
        <v>1153</v>
      </c>
      <c r="HU37" s="166">
        <v>0</v>
      </c>
    </row>
    <row r="38" spans="1:233" ht="26">
      <c r="A38" s="158">
        <v>37</v>
      </c>
      <c r="B38" s="159" t="s">
        <v>355</v>
      </c>
      <c r="C38" s="160" t="s">
        <v>356</v>
      </c>
      <c r="D38" s="160" t="s">
        <v>87</v>
      </c>
      <c r="E38" s="159" t="s">
        <v>784</v>
      </c>
      <c r="F38" s="159" t="s">
        <v>784</v>
      </c>
      <c r="G38" s="159"/>
      <c r="H38" s="161">
        <v>1016.9</v>
      </c>
      <c r="I38" s="161">
        <v>297.54444444444442</v>
      </c>
      <c r="J38" s="161">
        <v>1314.4444444444443</v>
      </c>
      <c r="K38" s="162">
        <v>729</v>
      </c>
      <c r="L38" s="162">
        <v>4764</v>
      </c>
      <c r="M38" s="162">
        <v>1383</v>
      </c>
      <c r="N38" s="162">
        <v>3370</v>
      </c>
      <c r="O38" s="162">
        <v>10246</v>
      </c>
      <c r="P38" s="162">
        <v>9517</v>
      </c>
      <c r="Q38" s="162">
        <v>6876</v>
      </c>
      <c r="R38" s="162">
        <v>290</v>
      </c>
      <c r="S38" s="160">
        <v>706.56111111111113</v>
      </c>
      <c r="T38" s="160">
        <v>804.08333333333337</v>
      </c>
      <c r="U38" s="160">
        <v>746.79444444444448</v>
      </c>
      <c r="V38" s="160">
        <v>760.7833333333333</v>
      </c>
      <c r="W38" s="160">
        <v>780.32222222222219</v>
      </c>
      <c r="X38" s="160">
        <v>757.76666666666665</v>
      </c>
      <c r="Y38" s="160">
        <v>794.00555555555559</v>
      </c>
      <c r="Z38" s="160">
        <v>630.27777777777783</v>
      </c>
      <c r="AA38" s="160">
        <v>696.13333333333333</v>
      </c>
      <c r="AB38" s="160">
        <v>792.76111111111106</v>
      </c>
      <c r="AC38" s="160">
        <v>787.41111111111115</v>
      </c>
      <c r="AD38" s="160">
        <v>843.05</v>
      </c>
      <c r="AE38" s="160">
        <v>760.31111111111113</v>
      </c>
      <c r="AF38" s="160">
        <v>4643.7555555555555</v>
      </c>
      <c r="AG38" s="160">
        <v>1326.411111111111</v>
      </c>
      <c r="AH38" s="160">
        <v>3183.5333333333333</v>
      </c>
      <c r="AI38" s="160">
        <v>6676.7277777777781</v>
      </c>
      <c r="AJ38" s="160">
        <v>9153.7000000000007</v>
      </c>
      <c r="AK38" s="160">
        <v>9860.2611111111109</v>
      </c>
      <c r="AL38" s="161">
        <v>1047.9444444444443</v>
      </c>
      <c r="AM38" s="161">
        <v>304.54444444444442</v>
      </c>
      <c r="AN38" s="161">
        <v>1352.4888888888888</v>
      </c>
      <c r="AO38" s="161">
        <v>10164.805555555555</v>
      </c>
      <c r="AP38" s="162">
        <v>783</v>
      </c>
      <c r="AQ38" s="168">
        <v>740</v>
      </c>
      <c r="AR38" s="160">
        <v>808</v>
      </c>
      <c r="AS38" s="160">
        <v>750</v>
      </c>
      <c r="AT38" s="160">
        <v>742</v>
      </c>
      <c r="AU38" s="160">
        <v>789</v>
      </c>
      <c r="AV38" s="160">
        <v>728</v>
      </c>
      <c r="AW38" s="160">
        <v>758</v>
      </c>
      <c r="AX38" s="160">
        <v>648</v>
      </c>
      <c r="AY38" s="160">
        <v>740</v>
      </c>
      <c r="AZ38" s="160">
        <v>963</v>
      </c>
      <c r="BA38" s="160">
        <v>825</v>
      </c>
      <c r="BB38" s="160">
        <v>877</v>
      </c>
      <c r="BC38" s="160">
        <v>4557</v>
      </c>
      <c r="BD38" s="160">
        <v>1406</v>
      </c>
      <c r="BE38" s="160">
        <v>3405</v>
      </c>
      <c r="BF38" s="160">
        <v>6746</v>
      </c>
      <c r="BG38" s="160">
        <v>9368</v>
      </c>
      <c r="BH38" s="160">
        <v>10151</v>
      </c>
      <c r="BI38" s="160">
        <v>773</v>
      </c>
      <c r="BJ38" s="160">
        <v>10</v>
      </c>
      <c r="BK38" s="160">
        <v>6</v>
      </c>
      <c r="BL38" s="160">
        <v>6183</v>
      </c>
      <c r="BM38" s="160">
        <v>999</v>
      </c>
      <c r="BN38" s="162">
        <v>302</v>
      </c>
      <c r="BO38" s="162">
        <v>1301</v>
      </c>
      <c r="BP38" s="162">
        <v>1910</v>
      </c>
      <c r="BQ38" s="163">
        <v>8.4426136547746666E-2</v>
      </c>
      <c r="BR38" s="164">
        <v>709.48199999999986</v>
      </c>
      <c r="BS38" s="164">
        <v>670.48199999999997</v>
      </c>
      <c r="BT38" s="164">
        <v>604.76900000000001</v>
      </c>
      <c r="BU38" s="164">
        <v>682.98199999999997</v>
      </c>
      <c r="BV38" s="165">
        <v>520</v>
      </c>
      <c r="BW38" s="165">
        <v>0</v>
      </c>
      <c r="BX38" s="166">
        <v>0</v>
      </c>
      <c r="BY38" s="166">
        <v>0.97777700000000001</v>
      </c>
      <c r="BZ38" s="166">
        <v>775.02222200000006</v>
      </c>
      <c r="CA38" s="166">
        <v>776</v>
      </c>
      <c r="CB38" s="166">
        <v>719.63333333333333</v>
      </c>
      <c r="CC38" s="166">
        <v>790.75</v>
      </c>
      <c r="CD38" s="166">
        <v>732.44444444444446</v>
      </c>
      <c r="CE38" s="166">
        <v>729.90555555555557</v>
      </c>
      <c r="CF38" s="166">
        <v>763.37222222222226</v>
      </c>
      <c r="CG38" s="166">
        <v>725.0333333333333</v>
      </c>
      <c r="CH38" s="166">
        <v>733.15555555555557</v>
      </c>
      <c r="CI38" s="166">
        <v>617.05555555555554</v>
      </c>
      <c r="CJ38" s="166">
        <v>700.7166666666667</v>
      </c>
      <c r="CK38" s="166">
        <v>895.57777777777778</v>
      </c>
      <c r="CL38" s="166">
        <v>763.64444444444439</v>
      </c>
      <c r="CM38" s="166">
        <v>808.02777777777783</v>
      </c>
      <c r="CN38" s="166">
        <v>4461.1388888888887</v>
      </c>
      <c r="CO38" s="166">
        <v>1350.2111111111112</v>
      </c>
      <c r="CP38" s="166">
        <v>3167.9666666666667</v>
      </c>
      <c r="CQ38" s="166">
        <v>6587.3499999999995</v>
      </c>
      <c r="CR38" s="166">
        <v>8979.3166666666657</v>
      </c>
      <c r="CS38" s="166">
        <v>9755.3166666666657</v>
      </c>
      <c r="CT38" s="166">
        <v>1022.43888888889</v>
      </c>
      <c r="CU38" s="166">
        <v>317</v>
      </c>
      <c r="CV38" s="166">
        <v>1339.43888888889</v>
      </c>
      <c r="CW38" s="166">
        <v>10072.316666666666</v>
      </c>
      <c r="CX38" s="166">
        <v>0</v>
      </c>
      <c r="CY38" s="166">
        <v>737</v>
      </c>
      <c r="CZ38" s="165">
        <v>0</v>
      </c>
      <c r="DA38" s="165">
        <v>737</v>
      </c>
      <c r="DB38" s="165">
        <v>790</v>
      </c>
      <c r="DC38" s="165">
        <v>733</v>
      </c>
      <c r="DD38" s="165">
        <v>814</v>
      </c>
      <c r="DE38" s="165">
        <v>760</v>
      </c>
      <c r="DF38" s="165">
        <v>771</v>
      </c>
      <c r="DG38" s="165">
        <v>795</v>
      </c>
      <c r="DH38" s="165">
        <v>668</v>
      </c>
      <c r="DI38" s="165">
        <v>713</v>
      </c>
      <c r="DJ38" s="165">
        <v>650</v>
      </c>
      <c r="DK38" s="165">
        <v>866</v>
      </c>
      <c r="DL38" s="165">
        <v>900</v>
      </c>
      <c r="DM38" s="165">
        <v>848</v>
      </c>
      <c r="DN38" s="165">
        <v>4663</v>
      </c>
      <c r="DO38" s="165">
        <v>1381</v>
      </c>
      <c r="DP38" s="165">
        <v>3264</v>
      </c>
      <c r="DQ38" s="165">
        <v>6781</v>
      </c>
      <c r="DR38" s="165">
        <v>9308</v>
      </c>
      <c r="DS38" s="165">
        <v>10045</v>
      </c>
      <c r="DT38" s="165">
        <v>3</v>
      </c>
      <c r="DU38" s="165">
        <v>5542</v>
      </c>
      <c r="DV38" s="165">
        <v>1034</v>
      </c>
      <c r="DW38" s="165">
        <v>306</v>
      </c>
      <c r="DX38" s="165">
        <v>1340</v>
      </c>
      <c r="DY38" s="165">
        <v>10351</v>
      </c>
      <c r="DZ38" s="165">
        <v>1984</v>
      </c>
      <c r="EA38" s="166">
        <v>700.4380000000001</v>
      </c>
      <c r="EB38" s="166">
        <v>661.4380000000001</v>
      </c>
      <c r="EC38" s="166">
        <v>272.89999999999998</v>
      </c>
      <c r="ED38" s="166">
        <v>248.31000000000009</v>
      </c>
      <c r="EE38" s="166">
        <v>0</v>
      </c>
      <c r="EF38" s="166">
        <v>706.4380000000001</v>
      </c>
      <c r="EG38" s="167">
        <v>8.4151350416052983E-2</v>
      </c>
      <c r="EH38" s="165"/>
      <c r="EI38" s="165">
        <v>727</v>
      </c>
      <c r="EJ38" s="165">
        <v>9182</v>
      </c>
      <c r="EK38" s="165"/>
      <c r="EL38" s="165"/>
      <c r="EM38" s="166"/>
      <c r="EN38" s="165">
        <v>9909</v>
      </c>
      <c r="EO38" s="165">
        <v>90</v>
      </c>
      <c r="EP38" s="165">
        <v>1390</v>
      </c>
      <c r="EQ38" s="165">
        <v>1480</v>
      </c>
      <c r="ER38" s="165">
        <v>1069</v>
      </c>
      <c r="ES38" s="165">
        <v>321</v>
      </c>
      <c r="ET38" s="165">
        <v>71</v>
      </c>
      <c r="EU38" s="166">
        <v>148.40799999999999</v>
      </c>
      <c r="EV38" s="166">
        <v>11.278</v>
      </c>
      <c r="EW38" s="166">
        <v>59.192</v>
      </c>
      <c r="EX38" s="166">
        <v>3</v>
      </c>
      <c r="EY38" s="166">
        <v>170.75200000000001</v>
      </c>
      <c r="EZ38" s="166">
        <v>392.63</v>
      </c>
      <c r="FA38" s="166">
        <v>0.19444444444444445</v>
      </c>
      <c r="FB38" s="166">
        <v>719.47777777777776</v>
      </c>
      <c r="FC38" s="166">
        <v>719.67222222222222</v>
      </c>
      <c r="FD38" s="166">
        <v>756.86666666666667</v>
      </c>
      <c r="FE38" s="166">
        <v>704.00555555555559</v>
      </c>
      <c r="FF38" s="166">
        <v>805.34444444444443</v>
      </c>
      <c r="FG38" s="166">
        <v>738.52777777777783</v>
      </c>
      <c r="FH38" s="166">
        <v>751.85</v>
      </c>
      <c r="FI38" s="166">
        <v>762.13333333333333</v>
      </c>
      <c r="FJ38" s="166">
        <v>650.18888888888887</v>
      </c>
      <c r="FK38" s="166">
        <v>693.71111111111111</v>
      </c>
      <c r="FL38" s="166">
        <v>624.68333333333328</v>
      </c>
      <c r="FM38" s="166">
        <v>814.23888888888894</v>
      </c>
      <c r="FN38" s="166">
        <v>854.4666666666667</v>
      </c>
      <c r="FO38" s="166">
        <v>742.59444444444443</v>
      </c>
      <c r="FP38" s="166">
        <v>4518.7277777777781</v>
      </c>
      <c r="FQ38" s="166">
        <v>1343.9</v>
      </c>
      <c r="FR38" s="166">
        <v>3035.9833333333331</v>
      </c>
      <c r="FS38" s="166">
        <v>6582.2999999999993</v>
      </c>
      <c r="FT38" s="166">
        <v>8898.6111111111113</v>
      </c>
      <c r="FU38" s="166">
        <v>9618.2833333333328</v>
      </c>
      <c r="FV38" s="166">
        <v>1059.9666666666667</v>
      </c>
      <c r="FW38" s="166">
        <v>317.18888888888887</v>
      </c>
      <c r="FX38" s="166">
        <v>1377.1555555555556</v>
      </c>
      <c r="FY38" s="166">
        <v>9935.4722222222226</v>
      </c>
      <c r="FZ38" s="165">
        <v>1</v>
      </c>
      <c r="GA38" s="165">
        <v>693</v>
      </c>
      <c r="GB38" s="165">
        <v>694</v>
      </c>
      <c r="GC38" s="165">
        <v>725</v>
      </c>
      <c r="GD38" s="165">
        <v>756</v>
      </c>
      <c r="GE38" s="165">
        <v>718</v>
      </c>
      <c r="GF38" s="165">
        <v>814</v>
      </c>
      <c r="GG38" s="165">
        <v>768</v>
      </c>
      <c r="GH38" s="165">
        <v>745</v>
      </c>
      <c r="GI38" s="165">
        <v>708</v>
      </c>
      <c r="GJ38" s="165">
        <v>671</v>
      </c>
      <c r="GK38" s="165">
        <v>684</v>
      </c>
      <c r="GL38" s="165">
        <v>748</v>
      </c>
      <c r="GM38" s="165">
        <v>842</v>
      </c>
      <c r="GN38" s="165">
        <v>925</v>
      </c>
      <c r="GO38" s="165">
        <v>4526</v>
      </c>
      <c r="GP38" s="165">
        <v>1379</v>
      </c>
      <c r="GQ38" s="165">
        <v>3199</v>
      </c>
      <c r="GR38" s="165">
        <v>6599</v>
      </c>
      <c r="GS38" s="165">
        <v>9104</v>
      </c>
      <c r="GT38" s="165">
        <v>9798</v>
      </c>
      <c r="GU38" s="165">
        <v>7</v>
      </c>
      <c r="GV38" s="165">
        <v>6139</v>
      </c>
      <c r="GW38" s="165">
        <v>1071</v>
      </c>
      <c r="GX38" s="165">
        <v>334</v>
      </c>
      <c r="GY38" s="165">
        <v>1405</v>
      </c>
      <c r="GZ38" s="165">
        <v>10132</v>
      </c>
      <c r="HA38" s="165">
        <v>1837</v>
      </c>
      <c r="HB38" s="166">
        <v>693.79600000000016</v>
      </c>
      <c r="HC38" s="166">
        <v>653.79600000000005</v>
      </c>
      <c r="HD38" s="166">
        <v>266.54200000000003</v>
      </c>
      <c r="HE38" s="166">
        <v>252.00400000000002</v>
      </c>
      <c r="HF38" s="166"/>
      <c r="HG38" s="166">
        <v>700.25800000000004</v>
      </c>
      <c r="HH38" s="166">
        <v>88</v>
      </c>
      <c r="HI38" s="166">
        <v>1403</v>
      </c>
      <c r="HJ38" s="166">
        <v>1491</v>
      </c>
      <c r="HK38" s="166">
        <v>1075</v>
      </c>
      <c r="HL38" s="166">
        <v>328</v>
      </c>
      <c r="HM38" s="166">
        <v>81</v>
      </c>
      <c r="HN38" s="166">
        <v>670</v>
      </c>
      <c r="HO38" s="166">
        <v>8788</v>
      </c>
      <c r="HP38" s="166">
        <v>0</v>
      </c>
      <c r="HQ38" s="166">
        <v>0</v>
      </c>
      <c r="HR38" s="166">
        <v>0</v>
      </c>
      <c r="HS38" s="166">
        <v>9458</v>
      </c>
      <c r="HT38" s="166">
        <f>FY26_FE_Data_April15[[#This Row],[Oct 1, 2026 (CDC) - K]]+FY26_FE_Data_April15[[#This Row],[Oct 1, 2026 (CDC) - Grades 1-6]]+FY26_FE_Data_April15[[#This Row],[Oct 1, 2026 (CDC) - Grades 7-8]]</f>
        <v>670</v>
      </c>
      <c r="HU38" s="166">
        <v>0</v>
      </c>
    </row>
    <row r="39" spans="1:233" ht="26">
      <c r="A39" s="158">
        <v>38</v>
      </c>
      <c r="B39" s="159" t="s">
        <v>357</v>
      </c>
      <c r="C39" s="160" t="s">
        <v>358</v>
      </c>
      <c r="D39" s="160" t="s">
        <v>87</v>
      </c>
      <c r="E39" s="159" t="s">
        <v>784</v>
      </c>
      <c r="F39" s="159" t="s">
        <v>784</v>
      </c>
      <c r="G39" s="159"/>
      <c r="H39" s="161">
        <v>1370.95</v>
      </c>
      <c r="I39" s="161">
        <v>244.76666666666668</v>
      </c>
      <c r="J39" s="161">
        <v>1615.7166666666667</v>
      </c>
      <c r="K39" s="162">
        <v>958</v>
      </c>
      <c r="L39" s="162">
        <v>5976</v>
      </c>
      <c r="M39" s="162">
        <v>2066</v>
      </c>
      <c r="N39" s="162">
        <v>4612</v>
      </c>
      <c r="O39" s="162">
        <v>13612</v>
      </c>
      <c r="P39" s="162">
        <v>12654</v>
      </c>
      <c r="Q39" s="162">
        <v>9000</v>
      </c>
      <c r="R39" s="162">
        <v>254</v>
      </c>
      <c r="S39" s="160">
        <v>944.76666666666665</v>
      </c>
      <c r="T39" s="160">
        <v>974.9666666666667</v>
      </c>
      <c r="U39" s="160">
        <v>984.5333333333333</v>
      </c>
      <c r="V39" s="160">
        <v>993.26111111111106</v>
      </c>
      <c r="W39" s="160">
        <v>991.17222222222222</v>
      </c>
      <c r="X39" s="160">
        <v>927.66666666666663</v>
      </c>
      <c r="Y39" s="160">
        <v>1015.6333333333333</v>
      </c>
      <c r="Z39" s="160">
        <v>980.85</v>
      </c>
      <c r="AA39" s="160">
        <v>1025.8444444444444</v>
      </c>
      <c r="AB39" s="160">
        <v>1137.7111111111112</v>
      </c>
      <c r="AC39" s="160">
        <v>1200.8333333333333</v>
      </c>
      <c r="AD39" s="160">
        <v>1068.8333333333333</v>
      </c>
      <c r="AE39" s="160">
        <v>1043.6777777777777</v>
      </c>
      <c r="AF39" s="160">
        <v>5887.2333333333336</v>
      </c>
      <c r="AG39" s="160">
        <v>2006.6944444444443</v>
      </c>
      <c r="AH39" s="160">
        <v>4451.0555555555557</v>
      </c>
      <c r="AI39" s="160">
        <v>8838.6944444444453</v>
      </c>
      <c r="AJ39" s="160">
        <v>12344.983333333335</v>
      </c>
      <c r="AK39" s="160">
        <v>13289.750000000002</v>
      </c>
      <c r="AL39" s="161">
        <v>1388.1055555555556</v>
      </c>
      <c r="AM39" s="161">
        <v>239.52777777777777</v>
      </c>
      <c r="AN39" s="161">
        <v>1627.6333333333334</v>
      </c>
      <c r="AO39" s="161">
        <v>13529.277777777779</v>
      </c>
      <c r="AP39" s="162">
        <v>969</v>
      </c>
      <c r="AQ39" s="168">
        <v>965</v>
      </c>
      <c r="AR39" s="160">
        <v>998</v>
      </c>
      <c r="AS39" s="160">
        <v>981</v>
      </c>
      <c r="AT39" s="160">
        <v>1004</v>
      </c>
      <c r="AU39" s="160">
        <v>1007</v>
      </c>
      <c r="AV39" s="160">
        <v>951</v>
      </c>
      <c r="AW39" s="160">
        <v>1024</v>
      </c>
      <c r="AX39" s="160">
        <v>1003</v>
      </c>
      <c r="AY39" s="160">
        <v>1092</v>
      </c>
      <c r="AZ39" s="160">
        <v>1170</v>
      </c>
      <c r="BA39" s="160">
        <v>1202</v>
      </c>
      <c r="BB39" s="160">
        <v>1089</v>
      </c>
      <c r="BC39" s="160">
        <v>5906</v>
      </c>
      <c r="BD39" s="160">
        <v>2027</v>
      </c>
      <c r="BE39" s="160">
        <v>4553</v>
      </c>
      <c r="BF39" s="160">
        <v>8902</v>
      </c>
      <c r="BG39" s="160">
        <v>12486</v>
      </c>
      <c r="BH39" s="160">
        <v>13455</v>
      </c>
      <c r="BI39" s="160">
        <v>904</v>
      </c>
      <c r="BJ39" s="160">
        <v>65</v>
      </c>
      <c r="BK39" s="160">
        <v>9</v>
      </c>
      <c r="BL39" s="160">
        <v>5352</v>
      </c>
      <c r="BM39" s="160">
        <v>1339</v>
      </c>
      <c r="BN39" s="162">
        <v>255</v>
      </c>
      <c r="BO39" s="162">
        <v>1594</v>
      </c>
      <c r="BP39" s="162">
        <v>2564</v>
      </c>
      <c r="BQ39" s="163">
        <v>7.8438417876671884E-2</v>
      </c>
      <c r="BR39" s="164">
        <v>829.7600000000001</v>
      </c>
      <c r="BS39" s="164">
        <v>794.82300000000009</v>
      </c>
      <c r="BT39" s="164">
        <v>719.87940000000003</v>
      </c>
      <c r="BU39" s="164">
        <v>806.46599999999989</v>
      </c>
      <c r="BV39" s="165">
        <v>80</v>
      </c>
      <c r="BW39" s="165">
        <v>22</v>
      </c>
      <c r="BX39" s="166">
        <v>276.294444</v>
      </c>
      <c r="BY39" s="166">
        <v>47.933332999999998</v>
      </c>
      <c r="BZ39" s="166">
        <v>895.12222199999997</v>
      </c>
      <c r="CA39" s="166">
        <v>943.05555555555554</v>
      </c>
      <c r="CB39" s="166">
        <v>949.41666666666663</v>
      </c>
      <c r="CC39" s="166">
        <v>978.10555555555561</v>
      </c>
      <c r="CD39" s="166">
        <v>973.6</v>
      </c>
      <c r="CE39" s="166">
        <v>985.21111111111111</v>
      </c>
      <c r="CF39" s="166">
        <v>989.52222222222224</v>
      </c>
      <c r="CG39" s="166">
        <v>929.67777777777781</v>
      </c>
      <c r="CH39" s="166">
        <v>1008.5444444444445</v>
      </c>
      <c r="CI39" s="166">
        <v>985.66666666666663</v>
      </c>
      <c r="CJ39" s="166">
        <v>1082.4666666666667</v>
      </c>
      <c r="CK39" s="166">
        <v>1143.4000000000001</v>
      </c>
      <c r="CL39" s="166">
        <v>1173.1777777777777</v>
      </c>
      <c r="CM39" s="166">
        <v>1011.2111111111111</v>
      </c>
      <c r="CN39" s="166">
        <v>5805.5333333333338</v>
      </c>
      <c r="CO39" s="166">
        <v>1994.2111111111112</v>
      </c>
      <c r="CP39" s="166">
        <v>4410.2555555555555</v>
      </c>
      <c r="CQ39" s="166">
        <v>8742.7999999999993</v>
      </c>
      <c r="CR39" s="166">
        <v>12210</v>
      </c>
      <c r="CS39" s="166">
        <v>13153.055555555555</v>
      </c>
      <c r="CT39" s="166">
        <v>1347.5388888888899</v>
      </c>
      <c r="CU39" s="166">
        <v>268.85555555555601</v>
      </c>
      <c r="CV39" s="166">
        <v>1616.394444444446</v>
      </c>
      <c r="CW39" s="166">
        <v>13421.911111111111</v>
      </c>
      <c r="CX39" s="166">
        <v>306.61111099999999</v>
      </c>
      <c r="CY39" s="166">
        <v>832</v>
      </c>
      <c r="CZ39" s="165">
        <v>41</v>
      </c>
      <c r="DA39" s="165">
        <v>873</v>
      </c>
      <c r="DB39" s="165">
        <v>986</v>
      </c>
      <c r="DC39" s="165">
        <v>955</v>
      </c>
      <c r="DD39" s="165">
        <v>1004</v>
      </c>
      <c r="DE39" s="165">
        <v>1020</v>
      </c>
      <c r="DF39" s="165">
        <v>998</v>
      </c>
      <c r="DG39" s="165">
        <v>1021</v>
      </c>
      <c r="DH39" s="165">
        <v>935</v>
      </c>
      <c r="DI39" s="165">
        <v>1041</v>
      </c>
      <c r="DJ39" s="165">
        <v>1146</v>
      </c>
      <c r="DK39" s="165">
        <v>1106</v>
      </c>
      <c r="DL39" s="165">
        <v>1180</v>
      </c>
      <c r="DM39" s="165">
        <v>1198</v>
      </c>
      <c r="DN39" s="165">
        <v>5984</v>
      </c>
      <c r="DO39" s="165">
        <v>1976</v>
      </c>
      <c r="DP39" s="165">
        <v>4630</v>
      </c>
      <c r="DQ39" s="165">
        <v>8833</v>
      </c>
      <c r="DR39" s="165">
        <v>12590</v>
      </c>
      <c r="DS39" s="165">
        <v>13463</v>
      </c>
      <c r="DT39" s="165">
        <v>5</v>
      </c>
      <c r="DU39" s="165">
        <v>5191</v>
      </c>
      <c r="DV39" s="165">
        <v>1316</v>
      </c>
      <c r="DW39" s="165">
        <v>282</v>
      </c>
      <c r="DX39" s="165">
        <v>1598</v>
      </c>
      <c r="DY39" s="165">
        <v>13745</v>
      </c>
      <c r="DZ39" s="165">
        <v>2474</v>
      </c>
      <c r="EA39" s="166">
        <v>836.34500000000003</v>
      </c>
      <c r="EB39" s="166">
        <v>792.40800000000002</v>
      </c>
      <c r="EC39" s="166">
        <v>354.976</v>
      </c>
      <c r="ED39" s="166">
        <v>291.65400000000011</v>
      </c>
      <c r="EE39" s="166">
        <v>6</v>
      </c>
      <c r="EF39" s="166">
        <v>844.19099999999935</v>
      </c>
      <c r="EG39" s="167">
        <v>7.9219538422750924E-2</v>
      </c>
      <c r="EH39" s="165"/>
      <c r="EI39" s="165">
        <v>868</v>
      </c>
      <c r="EJ39" s="165">
        <v>12519</v>
      </c>
      <c r="EK39" s="165"/>
      <c r="EL39" s="165"/>
      <c r="EM39" s="166"/>
      <c r="EN39" s="165">
        <v>13387</v>
      </c>
      <c r="EO39" s="165">
        <v>172</v>
      </c>
      <c r="EP39" s="165">
        <v>1582</v>
      </c>
      <c r="EQ39" s="165">
        <v>1754</v>
      </c>
      <c r="ER39" s="165">
        <v>1302</v>
      </c>
      <c r="ES39" s="165">
        <v>280</v>
      </c>
      <c r="ET39" s="165">
        <v>70</v>
      </c>
      <c r="EU39" s="166">
        <v>319.83999999999997</v>
      </c>
      <c r="EV39" s="166">
        <v>20.83</v>
      </c>
      <c r="EW39" s="166">
        <v>93.18</v>
      </c>
      <c r="EX39" s="166">
        <v>14.89</v>
      </c>
      <c r="EY39" s="166">
        <v>222.5</v>
      </c>
      <c r="EZ39" s="166">
        <v>671.24</v>
      </c>
      <c r="FA39" s="166">
        <v>16.566666666666666</v>
      </c>
      <c r="FB39" s="166">
        <v>839.86111111111109</v>
      </c>
      <c r="FC39" s="166">
        <v>856.42777777777781</v>
      </c>
      <c r="FD39" s="166">
        <v>942.25</v>
      </c>
      <c r="FE39" s="166">
        <v>917.88333333333333</v>
      </c>
      <c r="FF39" s="166">
        <v>968.29444444444448</v>
      </c>
      <c r="FG39" s="166">
        <v>993.76666666666665</v>
      </c>
      <c r="FH39" s="166">
        <v>976.77222222222224</v>
      </c>
      <c r="FI39" s="166">
        <v>1004.1111111111111</v>
      </c>
      <c r="FJ39" s="166">
        <v>917.53888888888889</v>
      </c>
      <c r="FK39" s="166">
        <v>1015.8777777777777</v>
      </c>
      <c r="FL39" s="166">
        <v>1107.5</v>
      </c>
      <c r="FM39" s="166">
        <v>1073.8499999999999</v>
      </c>
      <c r="FN39" s="166">
        <v>1142</v>
      </c>
      <c r="FO39" s="166">
        <v>1118.0222222222221</v>
      </c>
      <c r="FP39" s="166">
        <v>5803.0777777777776</v>
      </c>
      <c r="FQ39" s="166">
        <v>1933.4166666666665</v>
      </c>
      <c r="FR39" s="166">
        <v>4441.3722222222223</v>
      </c>
      <c r="FS39" s="166">
        <v>8592.9222222222234</v>
      </c>
      <c r="FT39" s="166">
        <v>12177.866666666667</v>
      </c>
      <c r="FU39" s="166">
        <v>13034.294444444446</v>
      </c>
      <c r="FV39" s="166">
        <v>1316.1444444444444</v>
      </c>
      <c r="FW39" s="166">
        <v>289.05</v>
      </c>
      <c r="FX39" s="166">
        <v>1605.1944444444443</v>
      </c>
      <c r="FY39" s="166">
        <v>13323.344444444445</v>
      </c>
      <c r="FZ39" s="165">
        <v>38</v>
      </c>
      <c r="GA39" s="165">
        <v>797</v>
      </c>
      <c r="GB39" s="165">
        <v>835</v>
      </c>
      <c r="GC39" s="165">
        <v>885</v>
      </c>
      <c r="GD39" s="165">
        <v>970</v>
      </c>
      <c r="GE39" s="165">
        <v>913</v>
      </c>
      <c r="GF39" s="165">
        <v>979</v>
      </c>
      <c r="GG39" s="165">
        <v>991</v>
      </c>
      <c r="GH39" s="165">
        <v>991</v>
      </c>
      <c r="GI39" s="165">
        <v>1008</v>
      </c>
      <c r="GJ39" s="165">
        <v>943</v>
      </c>
      <c r="GK39" s="165">
        <v>1097</v>
      </c>
      <c r="GL39" s="165">
        <v>1135</v>
      </c>
      <c r="GM39" s="165">
        <v>1119</v>
      </c>
      <c r="GN39" s="165">
        <v>1144</v>
      </c>
      <c r="GO39" s="165">
        <v>5729</v>
      </c>
      <c r="GP39" s="165">
        <v>1951</v>
      </c>
      <c r="GQ39" s="165">
        <v>4495</v>
      </c>
      <c r="GR39" s="165">
        <v>8515</v>
      </c>
      <c r="GS39" s="165">
        <v>12175</v>
      </c>
      <c r="GT39" s="165">
        <v>13010</v>
      </c>
      <c r="GU39" s="165">
        <v>5</v>
      </c>
      <c r="GV39" s="165">
        <v>4909</v>
      </c>
      <c r="GW39" s="165">
        <v>1325</v>
      </c>
      <c r="GX39" s="165">
        <v>284</v>
      </c>
      <c r="GY39" s="165">
        <v>1609</v>
      </c>
      <c r="GZ39" s="165">
        <v>13294</v>
      </c>
      <c r="HA39" s="165">
        <v>2261</v>
      </c>
      <c r="HB39" s="166">
        <v>826.6099999999999</v>
      </c>
      <c r="HC39" s="166">
        <v>779.67299999999989</v>
      </c>
      <c r="HD39" s="166">
        <v>353.36700000000002</v>
      </c>
      <c r="HE39" s="166">
        <v>287.71800000000002</v>
      </c>
      <c r="HF39" s="166"/>
      <c r="HG39" s="166">
        <v>834.41</v>
      </c>
      <c r="HH39" s="166">
        <v>178</v>
      </c>
      <c r="HI39" s="166">
        <v>1621</v>
      </c>
      <c r="HJ39" s="166">
        <v>1799</v>
      </c>
      <c r="HK39" s="166">
        <v>1364</v>
      </c>
      <c r="HL39" s="166">
        <v>257</v>
      </c>
      <c r="HM39" s="166">
        <v>47</v>
      </c>
      <c r="HN39" s="166">
        <v>818</v>
      </c>
      <c r="HO39" s="166">
        <v>11932</v>
      </c>
      <c r="HP39" s="166">
        <v>0</v>
      </c>
      <c r="HQ39" s="166">
        <v>0</v>
      </c>
      <c r="HR39" s="166">
        <v>0</v>
      </c>
      <c r="HS39" s="166">
        <v>12750</v>
      </c>
      <c r="HT39" s="166">
        <f>FY26_FE_Data_April15[[#This Row],[Oct 1, 2026 (CDC) - K]]+FY26_FE_Data_April15[[#This Row],[Oct 1, 2026 (CDC) - Grades 1-6]]+FY26_FE_Data_April15[[#This Row],[Oct 1, 2026 (CDC) - Grades 7-8]]</f>
        <v>818</v>
      </c>
      <c r="HU39" s="166">
        <v>318.05</v>
      </c>
    </row>
    <row r="40" spans="1:233" ht="26">
      <c r="A40" s="158">
        <v>39</v>
      </c>
      <c r="B40" s="159" t="s">
        <v>359</v>
      </c>
      <c r="C40" s="160" t="s">
        <v>360</v>
      </c>
      <c r="D40" s="160" t="s">
        <v>87</v>
      </c>
      <c r="E40" s="159" t="s">
        <v>784</v>
      </c>
      <c r="F40" s="159" t="s">
        <v>784</v>
      </c>
      <c r="G40" s="159"/>
      <c r="H40" s="161">
        <v>566.48333333333335</v>
      </c>
      <c r="I40" s="161">
        <v>79.05</v>
      </c>
      <c r="J40" s="161">
        <v>645.5333333333333</v>
      </c>
      <c r="K40" s="162">
        <v>425</v>
      </c>
      <c r="L40" s="162">
        <v>2467</v>
      </c>
      <c r="M40" s="162">
        <v>800</v>
      </c>
      <c r="N40" s="162">
        <v>1451</v>
      </c>
      <c r="O40" s="162">
        <v>5143</v>
      </c>
      <c r="P40" s="162">
        <v>4718</v>
      </c>
      <c r="Q40" s="162">
        <v>3692</v>
      </c>
      <c r="R40" s="162">
        <v>95</v>
      </c>
      <c r="S40" s="160">
        <v>416.28333333333336</v>
      </c>
      <c r="T40" s="160">
        <v>426.02222222222224</v>
      </c>
      <c r="U40" s="160">
        <v>419.25555555555553</v>
      </c>
      <c r="V40" s="160">
        <v>405.52222222222224</v>
      </c>
      <c r="W40" s="160">
        <v>417.08333333333331</v>
      </c>
      <c r="X40" s="160">
        <v>386.9</v>
      </c>
      <c r="Y40" s="160">
        <v>350.71666666666664</v>
      </c>
      <c r="Z40" s="160">
        <v>399.26666666666665</v>
      </c>
      <c r="AA40" s="160">
        <v>378.62222222222221</v>
      </c>
      <c r="AB40" s="160">
        <v>369.4111111111111</v>
      </c>
      <c r="AC40" s="160">
        <v>357.70555555555558</v>
      </c>
      <c r="AD40" s="160">
        <v>351.92777777777781</v>
      </c>
      <c r="AE40" s="160">
        <v>320.0888888888889</v>
      </c>
      <c r="AF40" s="160">
        <v>2405.5</v>
      </c>
      <c r="AG40" s="160">
        <v>777.88888888888891</v>
      </c>
      <c r="AH40" s="160">
        <v>1399.1333333333334</v>
      </c>
      <c r="AI40" s="160">
        <v>3599.6722222222224</v>
      </c>
      <c r="AJ40" s="160">
        <v>4582.5222222222219</v>
      </c>
      <c r="AK40" s="160">
        <v>4998.8055555555557</v>
      </c>
      <c r="AL40" s="161">
        <v>552.79999999999995</v>
      </c>
      <c r="AM40" s="161">
        <v>93.05</v>
      </c>
      <c r="AN40" s="161">
        <v>645.84999999999991</v>
      </c>
      <c r="AO40" s="161">
        <v>5091.8555555555558</v>
      </c>
      <c r="AP40" s="162">
        <v>455</v>
      </c>
      <c r="AQ40" s="168">
        <v>420</v>
      </c>
      <c r="AR40" s="160">
        <v>414</v>
      </c>
      <c r="AS40" s="160">
        <v>414</v>
      </c>
      <c r="AT40" s="160">
        <v>402</v>
      </c>
      <c r="AU40" s="160">
        <v>407</v>
      </c>
      <c r="AV40" s="160">
        <v>359</v>
      </c>
      <c r="AW40" s="160">
        <v>358</v>
      </c>
      <c r="AX40" s="160">
        <v>404</v>
      </c>
      <c r="AY40" s="160">
        <v>398</v>
      </c>
      <c r="AZ40" s="160">
        <v>375</v>
      </c>
      <c r="BA40" s="160">
        <v>360</v>
      </c>
      <c r="BB40" s="160">
        <v>364</v>
      </c>
      <c r="BC40" s="160">
        <v>2416</v>
      </c>
      <c r="BD40" s="160">
        <v>762</v>
      </c>
      <c r="BE40" s="160">
        <v>1497</v>
      </c>
      <c r="BF40" s="160">
        <v>3633</v>
      </c>
      <c r="BG40" s="160">
        <v>4675</v>
      </c>
      <c r="BH40" s="160">
        <v>5130</v>
      </c>
      <c r="BI40" s="160">
        <v>453</v>
      </c>
      <c r="BJ40" s="160">
        <v>2</v>
      </c>
      <c r="BK40" s="160">
        <v>4</v>
      </c>
      <c r="BL40" s="160">
        <v>2992</v>
      </c>
      <c r="BM40" s="160">
        <v>524</v>
      </c>
      <c r="BN40" s="162">
        <v>100</v>
      </c>
      <c r="BO40" s="162">
        <v>624</v>
      </c>
      <c r="BP40" s="162">
        <v>920</v>
      </c>
      <c r="BQ40" s="163">
        <v>7.7037087697358064E-2</v>
      </c>
      <c r="BR40" s="164">
        <v>312.34999999999997</v>
      </c>
      <c r="BS40" s="164">
        <v>299.85000000000002</v>
      </c>
      <c r="BT40" s="164">
        <v>280.10000000000002</v>
      </c>
      <c r="BU40" s="164">
        <v>312.34999999999997</v>
      </c>
      <c r="BV40" s="165">
        <v>0</v>
      </c>
      <c r="BW40" s="165">
        <v>0</v>
      </c>
      <c r="BX40" s="166">
        <v>0</v>
      </c>
      <c r="BY40" s="166">
        <v>0</v>
      </c>
      <c r="BZ40" s="166">
        <v>449.66666600000002</v>
      </c>
      <c r="CA40" s="166">
        <v>449.66666666666669</v>
      </c>
      <c r="CB40" s="166">
        <v>412.22222222222223</v>
      </c>
      <c r="CC40" s="166">
        <v>401.18333333333334</v>
      </c>
      <c r="CD40" s="166">
        <v>405.9111111111111</v>
      </c>
      <c r="CE40" s="166">
        <v>389.78333333333336</v>
      </c>
      <c r="CF40" s="166">
        <v>404.13333333333333</v>
      </c>
      <c r="CG40" s="166">
        <v>353.12222222222221</v>
      </c>
      <c r="CH40" s="166">
        <v>351.65</v>
      </c>
      <c r="CI40" s="166">
        <v>392.18888888888887</v>
      </c>
      <c r="CJ40" s="166">
        <v>381.43888888888887</v>
      </c>
      <c r="CK40" s="166">
        <v>356.6</v>
      </c>
      <c r="CL40" s="166">
        <v>347.41666666666669</v>
      </c>
      <c r="CM40" s="166">
        <v>340.63333333333333</v>
      </c>
      <c r="CN40" s="166">
        <v>2366.3555555555554</v>
      </c>
      <c r="CO40" s="166">
        <v>743.83888888888885</v>
      </c>
      <c r="CP40" s="166">
        <v>1426.088888888889</v>
      </c>
      <c r="CQ40" s="166">
        <v>3559.8611111111113</v>
      </c>
      <c r="CR40" s="166">
        <v>4536.2833333333328</v>
      </c>
      <c r="CS40" s="166">
        <v>4985.9500000000007</v>
      </c>
      <c r="CT40" s="166">
        <v>524.65555555555602</v>
      </c>
      <c r="CU40" s="166">
        <v>94.905555555555594</v>
      </c>
      <c r="CV40" s="166">
        <v>619.56111111111159</v>
      </c>
      <c r="CW40" s="166">
        <v>5080.8555555555567</v>
      </c>
      <c r="CX40" s="166">
        <v>0</v>
      </c>
      <c r="CY40" s="166">
        <v>415</v>
      </c>
      <c r="CZ40" s="165">
        <v>1</v>
      </c>
      <c r="DA40" s="165">
        <v>416</v>
      </c>
      <c r="DB40" s="165">
        <v>452</v>
      </c>
      <c r="DC40" s="165">
        <v>419</v>
      </c>
      <c r="DD40" s="165">
        <v>387</v>
      </c>
      <c r="DE40" s="165">
        <v>415</v>
      </c>
      <c r="DF40" s="165">
        <v>384</v>
      </c>
      <c r="DG40" s="165">
        <v>394</v>
      </c>
      <c r="DH40" s="165">
        <v>369</v>
      </c>
      <c r="DI40" s="165">
        <v>354</v>
      </c>
      <c r="DJ40" s="165">
        <v>385</v>
      </c>
      <c r="DK40" s="165">
        <v>378</v>
      </c>
      <c r="DL40" s="165">
        <v>352</v>
      </c>
      <c r="DM40" s="165">
        <v>351</v>
      </c>
      <c r="DN40" s="165">
        <v>2451</v>
      </c>
      <c r="DO40" s="165">
        <v>723</v>
      </c>
      <c r="DP40" s="165">
        <v>1466</v>
      </c>
      <c r="DQ40" s="165">
        <v>3590</v>
      </c>
      <c r="DR40" s="165">
        <v>4640</v>
      </c>
      <c r="DS40" s="165">
        <v>5056</v>
      </c>
      <c r="DT40" s="165">
        <v>0</v>
      </c>
      <c r="DU40" s="165">
        <v>2443</v>
      </c>
      <c r="DV40" s="165">
        <v>518</v>
      </c>
      <c r="DW40" s="165">
        <v>102</v>
      </c>
      <c r="DX40" s="165">
        <v>620</v>
      </c>
      <c r="DY40" s="165">
        <v>5158</v>
      </c>
      <c r="DZ40" s="165">
        <v>961</v>
      </c>
      <c r="EA40" s="166">
        <v>314.60000000000002</v>
      </c>
      <c r="EB40" s="166">
        <v>301.60000000000002</v>
      </c>
      <c r="EC40" s="166">
        <v>139.34</v>
      </c>
      <c r="ED40" s="166">
        <v>103.66999999999999</v>
      </c>
      <c r="EE40" s="166">
        <v>0</v>
      </c>
      <c r="EF40" s="166">
        <v>333.09999999999997</v>
      </c>
      <c r="EG40" s="167">
        <v>7.7694332610715233E-2</v>
      </c>
      <c r="EH40" s="165"/>
      <c r="EI40" s="165">
        <v>415</v>
      </c>
      <c r="EJ40" s="165">
        <v>4623</v>
      </c>
      <c r="EK40" s="165"/>
      <c r="EL40" s="165"/>
      <c r="EM40" s="166"/>
      <c r="EN40" s="165">
        <v>5038</v>
      </c>
      <c r="EO40" s="165">
        <v>100</v>
      </c>
      <c r="EP40" s="165">
        <v>608</v>
      </c>
      <c r="EQ40" s="165">
        <v>708</v>
      </c>
      <c r="ER40" s="165">
        <v>504</v>
      </c>
      <c r="ES40" s="165">
        <v>104</v>
      </c>
      <c r="ET40" s="165">
        <v>30</v>
      </c>
      <c r="EU40" s="166">
        <v>92.07</v>
      </c>
      <c r="EV40" s="166">
        <v>2.27</v>
      </c>
      <c r="EW40" s="166">
        <v>18.57</v>
      </c>
      <c r="EX40" s="166">
        <v>1</v>
      </c>
      <c r="EY40" s="166">
        <v>138.99</v>
      </c>
      <c r="EZ40" s="166">
        <v>252.9</v>
      </c>
      <c r="FA40" s="166">
        <v>0</v>
      </c>
      <c r="FB40" s="166">
        <v>400.15</v>
      </c>
      <c r="FC40" s="166">
        <v>400.15</v>
      </c>
      <c r="FD40" s="166">
        <v>440.33333333333331</v>
      </c>
      <c r="FE40" s="166">
        <v>410.38888888888891</v>
      </c>
      <c r="FF40" s="166">
        <v>382.97222222222223</v>
      </c>
      <c r="FG40" s="166">
        <v>404.70555555555558</v>
      </c>
      <c r="FH40" s="166">
        <v>382.01666666666665</v>
      </c>
      <c r="FI40" s="166">
        <v>383.73888888888888</v>
      </c>
      <c r="FJ40" s="166">
        <v>363.95555555555558</v>
      </c>
      <c r="FK40" s="166">
        <v>351.48888888888888</v>
      </c>
      <c r="FL40" s="166">
        <v>371.35</v>
      </c>
      <c r="FM40" s="166">
        <v>360.23888888888888</v>
      </c>
      <c r="FN40" s="166">
        <v>327.62777777777779</v>
      </c>
      <c r="FO40" s="166">
        <v>326.66666666666669</v>
      </c>
      <c r="FP40" s="166">
        <v>2404.1555555555556</v>
      </c>
      <c r="FQ40" s="166">
        <v>715.44444444444446</v>
      </c>
      <c r="FR40" s="166">
        <v>1385.8833333333334</v>
      </c>
      <c r="FS40" s="166">
        <v>3519.7500000000005</v>
      </c>
      <c r="FT40" s="166">
        <v>4505.4833333333345</v>
      </c>
      <c r="FU40" s="166">
        <v>4905.6333333333341</v>
      </c>
      <c r="FV40" s="166">
        <v>503.60555555555555</v>
      </c>
      <c r="FW40" s="166">
        <v>105.91666666666667</v>
      </c>
      <c r="FX40" s="166">
        <v>609.52222222222224</v>
      </c>
      <c r="FY40" s="166">
        <v>5011.5500000000011</v>
      </c>
      <c r="FZ40" s="165">
        <v>0</v>
      </c>
      <c r="GA40" s="165">
        <v>422</v>
      </c>
      <c r="GB40" s="165">
        <v>422</v>
      </c>
      <c r="GC40" s="165">
        <v>418</v>
      </c>
      <c r="GD40" s="165">
        <v>442</v>
      </c>
      <c r="GE40" s="165">
        <v>413</v>
      </c>
      <c r="GF40" s="165">
        <v>394</v>
      </c>
      <c r="GG40" s="165">
        <v>404</v>
      </c>
      <c r="GH40" s="165">
        <v>387</v>
      </c>
      <c r="GI40" s="165">
        <v>390</v>
      </c>
      <c r="GJ40" s="165">
        <v>374</v>
      </c>
      <c r="GK40" s="165">
        <v>360</v>
      </c>
      <c r="GL40" s="165">
        <v>389</v>
      </c>
      <c r="GM40" s="165">
        <v>351</v>
      </c>
      <c r="GN40" s="165">
        <v>331</v>
      </c>
      <c r="GO40" s="165">
        <v>2458</v>
      </c>
      <c r="GP40" s="165">
        <v>764</v>
      </c>
      <c r="GQ40" s="165">
        <v>1431</v>
      </c>
      <c r="GR40" s="165">
        <v>3644</v>
      </c>
      <c r="GS40" s="165">
        <v>4653</v>
      </c>
      <c r="GT40" s="165">
        <v>5075</v>
      </c>
      <c r="GU40" s="165">
        <v>5</v>
      </c>
      <c r="GV40" s="165">
        <v>2644</v>
      </c>
      <c r="GW40" s="165">
        <v>537</v>
      </c>
      <c r="GX40" s="165">
        <v>126</v>
      </c>
      <c r="GY40" s="165">
        <v>663</v>
      </c>
      <c r="GZ40" s="165">
        <v>5201</v>
      </c>
      <c r="HA40" s="165">
        <v>889</v>
      </c>
      <c r="HB40" s="166">
        <v>315.86</v>
      </c>
      <c r="HC40" s="166">
        <v>302.86</v>
      </c>
      <c r="HD40" s="166">
        <v>139.53</v>
      </c>
      <c r="HE40" s="166">
        <v>88.754999999999995</v>
      </c>
      <c r="HF40" s="166"/>
      <c r="HG40" s="166">
        <v>320.36</v>
      </c>
      <c r="HH40" s="166">
        <v>89</v>
      </c>
      <c r="HI40" s="166">
        <v>654</v>
      </c>
      <c r="HJ40" s="166">
        <v>743</v>
      </c>
      <c r="HK40" s="166">
        <v>528</v>
      </c>
      <c r="HL40" s="166">
        <v>126</v>
      </c>
      <c r="HM40" s="166">
        <v>33</v>
      </c>
      <c r="HN40" s="166">
        <v>416</v>
      </c>
      <c r="HO40" s="166">
        <v>4584</v>
      </c>
      <c r="HP40" s="166">
        <v>0</v>
      </c>
      <c r="HQ40" s="166">
        <v>0</v>
      </c>
      <c r="HR40" s="166">
        <v>0</v>
      </c>
      <c r="HS40" s="166">
        <v>5000</v>
      </c>
      <c r="HT40" s="166">
        <f>FY26_FE_Data_April15[[#This Row],[Oct 1, 2026 (CDC) - K]]+FY26_FE_Data_April15[[#This Row],[Oct 1, 2026 (CDC) - Grades 1-6]]+FY26_FE_Data_April15[[#This Row],[Oct 1, 2026 (CDC) - Grades 7-8]]</f>
        <v>416</v>
      </c>
      <c r="HU40" s="166">
        <v>0</v>
      </c>
    </row>
    <row r="41" spans="1:233" ht="26">
      <c r="A41" s="158">
        <v>40</v>
      </c>
      <c r="B41" s="159" t="s">
        <v>361</v>
      </c>
      <c r="C41" s="160" t="s">
        <v>362</v>
      </c>
      <c r="D41" s="160" t="s">
        <v>87</v>
      </c>
      <c r="E41" s="159" t="s">
        <v>784</v>
      </c>
      <c r="F41" s="159" t="s">
        <v>784</v>
      </c>
      <c r="G41" s="159"/>
      <c r="H41" s="161">
        <v>820.70555555555552</v>
      </c>
      <c r="I41" s="161">
        <v>74.983333333333334</v>
      </c>
      <c r="J41" s="161">
        <v>895.68888888888887</v>
      </c>
      <c r="K41" s="162">
        <v>416</v>
      </c>
      <c r="L41" s="162">
        <v>2559</v>
      </c>
      <c r="M41" s="162">
        <v>942</v>
      </c>
      <c r="N41" s="162">
        <v>1851</v>
      </c>
      <c r="O41" s="162">
        <v>5768</v>
      </c>
      <c r="P41" s="162">
        <v>5352</v>
      </c>
      <c r="Q41" s="162">
        <v>3917</v>
      </c>
      <c r="R41" s="162">
        <v>84</v>
      </c>
      <c r="S41" s="160">
        <v>408.27222222222224</v>
      </c>
      <c r="T41" s="160">
        <v>407.95</v>
      </c>
      <c r="U41" s="160">
        <v>409.85555555555555</v>
      </c>
      <c r="V41" s="160">
        <v>433.31666666666666</v>
      </c>
      <c r="W41" s="160">
        <v>429.34444444444443</v>
      </c>
      <c r="X41" s="160">
        <v>414.45555555555558</v>
      </c>
      <c r="Y41" s="160">
        <v>425.57222222222219</v>
      </c>
      <c r="Z41" s="160">
        <v>476.6611111111111</v>
      </c>
      <c r="AA41" s="160">
        <v>457.28333333333336</v>
      </c>
      <c r="AB41" s="160">
        <v>447.09444444444443</v>
      </c>
      <c r="AC41" s="160">
        <v>460.75555555555553</v>
      </c>
      <c r="AD41" s="160">
        <v>452.03888888888889</v>
      </c>
      <c r="AE41" s="160">
        <v>418.50555555555553</v>
      </c>
      <c r="AF41" s="160">
        <v>2520.4944444444445</v>
      </c>
      <c r="AG41" s="160">
        <v>933.94444444444446</v>
      </c>
      <c r="AH41" s="160">
        <v>1778.3944444444442</v>
      </c>
      <c r="AI41" s="160">
        <v>3862.7111111111112</v>
      </c>
      <c r="AJ41" s="160">
        <v>5232.8333333333339</v>
      </c>
      <c r="AK41" s="160">
        <v>5641.1055555555558</v>
      </c>
      <c r="AL41" s="161">
        <v>791.4666666666667</v>
      </c>
      <c r="AM41" s="161">
        <v>80.05</v>
      </c>
      <c r="AN41" s="161">
        <v>871.51666666666665</v>
      </c>
      <c r="AO41" s="161">
        <v>5721.155555555556</v>
      </c>
      <c r="AP41" s="162">
        <v>348</v>
      </c>
      <c r="AQ41" s="168">
        <v>422</v>
      </c>
      <c r="AR41" s="160">
        <v>416</v>
      </c>
      <c r="AS41" s="160">
        <v>419</v>
      </c>
      <c r="AT41" s="160">
        <v>440</v>
      </c>
      <c r="AU41" s="160">
        <v>416</v>
      </c>
      <c r="AV41" s="160">
        <v>404</v>
      </c>
      <c r="AW41" s="160">
        <v>441</v>
      </c>
      <c r="AX41" s="160">
        <v>479</v>
      </c>
      <c r="AY41" s="160">
        <v>445</v>
      </c>
      <c r="AZ41" s="160">
        <v>452</v>
      </c>
      <c r="BA41" s="160">
        <v>465</v>
      </c>
      <c r="BB41" s="160">
        <v>454</v>
      </c>
      <c r="BC41" s="160">
        <v>2517</v>
      </c>
      <c r="BD41" s="160">
        <v>920</v>
      </c>
      <c r="BE41" s="160">
        <v>1816</v>
      </c>
      <c r="BF41" s="160">
        <v>3785</v>
      </c>
      <c r="BG41" s="160">
        <v>5253</v>
      </c>
      <c r="BH41" s="160">
        <v>5601</v>
      </c>
      <c r="BI41" s="160">
        <v>339</v>
      </c>
      <c r="BJ41" s="160">
        <v>9</v>
      </c>
      <c r="BK41" s="160">
        <v>6</v>
      </c>
      <c r="BL41" s="160">
        <v>2201</v>
      </c>
      <c r="BM41" s="160">
        <v>745</v>
      </c>
      <c r="BN41" s="162">
        <v>81</v>
      </c>
      <c r="BO41" s="162">
        <v>826</v>
      </c>
      <c r="BP41" s="162">
        <v>605</v>
      </c>
      <c r="BQ41" s="163">
        <v>9.7313073362380209E-2</v>
      </c>
      <c r="BR41" s="164">
        <v>352.31</v>
      </c>
      <c r="BS41" s="164">
        <v>334.31</v>
      </c>
      <c r="BT41" s="164">
        <v>299.56</v>
      </c>
      <c r="BU41" s="164">
        <v>346.60999999999996</v>
      </c>
      <c r="BV41" s="165">
        <v>0</v>
      </c>
      <c r="BW41" s="165">
        <v>0</v>
      </c>
      <c r="BX41" s="166">
        <v>0</v>
      </c>
      <c r="BY41" s="166">
        <v>11.066666</v>
      </c>
      <c r="BZ41" s="166">
        <v>339.05555500000003</v>
      </c>
      <c r="CA41" s="166">
        <v>350.12222222222221</v>
      </c>
      <c r="CB41" s="166">
        <v>408.22222222222223</v>
      </c>
      <c r="CC41" s="166">
        <v>413.19444444444446</v>
      </c>
      <c r="CD41" s="166">
        <v>411.52222222222224</v>
      </c>
      <c r="CE41" s="166">
        <v>433.53888888888889</v>
      </c>
      <c r="CF41" s="166">
        <v>420.86666666666667</v>
      </c>
      <c r="CG41" s="166">
        <v>397.59444444444443</v>
      </c>
      <c r="CH41" s="166">
        <v>427.97777777777776</v>
      </c>
      <c r="CI41" s="166">
        <v>469.95555555555558</v>
      </c>
      <c r="CJ41" s="166">
        <v>435.07777777777778</v>
      </c>
      <c r="CK41" s="166">
        <v>438.68333333333334</v>
      </c>
      <c r="CL41" s="166">
        <v>446.45</v>
      </c>
      <c r="CM41" s="166">
        <v>424.27222222222224</v>
      </c>
      <c r="CN41" s="166">
        <v>2484.9388888888889</v>
      </c>
      <c r="CO41" s="166">
        <v>897.93333333333339</v>
      </c>
      <c r="CP41" s="166">
        <v>1744.4833333333336</v>
      </c>
      <c r="CQ41" s="166">
        <v>3732.9944444444445</v>
      </c>
      <c r="CR41" s="166">
        <v>5127.3555555555549</v>
      </c>
      <c r="CS41" s="166">
        <v>5477.4777777777772</v>
      </c>
      <c r="CT41" s="166">
        <v>758.61666666666702</v>
      </c>
      <c r="CU41" s="166">
        <v>70.177777777777806</v>
      </c>
      <c r="CV41" s="166">
        <v>828.79444444444482</v>
      </c>
      <c r="CW41" s="166">
        <v>5547.6555555555551</v>
      </c>
      <c r="CX41" s="166">
        <v>0</v>
      </c>
      <c r="CY41" s="166">
        <v>361</v>
      </c>
      <c r="CZ41" s="165">
        <v>20</v>
      </c>
      <c r="DA41" s="165">
        <v>381</v>
      </c>
      <c r="DB41" s="165">
        <v>363</v>
      </c>
      <c r="DC41" s="165">
        <v>417</v>
      </c>
      <c r="DD41" s="165">
        <v>424</v>
      </c>
      <c r="DE41" s="165">
        <v>410</v>
      </c>
      <c r="DF41" s="165">
        <v>444</v>
      </c>
      <c r="DG41" s="165">
        <v>423</v>
      </c>
      <c r="DH41" s="165">
        <v>412</v>
      </c>
      <c r="DI41" s="165">
        <v>443</v>
      </c>
      <c r="DJ41" s="165">
        <v>462</v>
      </c>
      <c r="DK41" s="165">
        <v>460</v>
      </c>
      <c r="DL41" s="165">
        <v>445</v>
      </c>
      <c r="DM41" s="165">
        <v>455</v>
      </c>
      <c r="DN41" s="165">
        <v>2481</v>
      </c>
      <c r="DO41" s="165">
        <v>855</v>
      </c>
      <c r="DP41" s="165">
        <v>1822</v>
      </c>
      <c r="DQ41" s="165">
        <v>3717</v>
      </c>
      <c r="DR41" s="165">
        <v>5158</v>
      </c>
      <c r="DS41" s="165">
        <v>5539</v>
      </c>
      <c r="DT41" s="165">
        <v>7</v>
      </c>
      <c r="DU41" s="165">
        <v>2178</v>
      </c>
      <c r="DV41" s="165">
        <v>727</v>
      </c>
      <c r="DW41" s="165">
        <v>71</v>
      </c>
      <c r="DX41" s="165">
        <v>798</v>
      </c>
      <c r="DY41" s="165">
        <v>5610</v>
      </c>
      <c r="DZ41" s="165">
        <v>644</v>
      </c>
      <c r="EA41" s="166">
        <v>353.37499999999994</v>
      </c>
      <c r="EB41" s="166">
        <v>335.37499999999994</v>
      </c>
      <c r="EC41" s="166">
        <v>147.69999999999999</v>
      </c>
      <c r="ED41" s="166">
        <v>120.24</v>
      </c>
      <c r="EE41" s="166">
        <v>0</v>
      </c>
      <c r="EF41" s="166">
        <v>357.375</v>
      </c>
      <c r="EG41" s="167">
        <v>9.6809763027292939E-2</v>
      </c>
      <c r="EH41" s="165"/>
      <c r="EI41" s="165">
        <v>377</v>
      </c>
      <c r="EJ41" s="165">
        <v>5108</v>
      </c>
      <c r="EK41" s="165"/>
      <c r="EL41" s="165"/>
      <c r="EM41" s="166"/>
      <c r="EN41" s="165">
        <v>5485</v>
      </c>
      <c r="EO41" s="165">
        <v>44</v>
      </c>
      <c r="EP41" s="165">
        <v>807</v>
      </c>
      <c r="EQ41" s="165">
        <v>851</v>
      </c>
      <c r="ER41" s="165">
        <v>729</v>
      </c>
      <c r="ES41" s="165">
        <v>78</v>
      </c>
      <c r="ET41" s="165">
        <v>58</v>
      </c>
      <c r="EU41" s="166">
        <v>166.81899999999999</v>
      </c>
      <c r="EV41" s="166">
        <v>6.5750000000000002</v>
      </c>
      <c r="EW41" s="166">
        <v>26.175000000000001</v>
      </c>
      <c r="EX41" s="166">
        <v>8.0250000000000004</v>
      </c>
      <c r="EY41" s="166">
        <v>95.480999999999995</v>
      </c>
      <c r="EZ41" s="166">
        <v>303.07499999999999</v>
      </c>
      <c r="FA41" s="166">
        <v>13.472222222222221</v>
      </c>
      <c r="FB41" s="166">
        <v>362.5888888888889</v>
      </c>
      <c r="FC41" s="166">
        <v>376.06111111111113</v>
      </c>
      <c r="FD41" s="166">
        <v>353.84444444444443</v>
      </c>
      <c r="FE41" s="166">
        <v>399.51111111111112</v>
      </c>
      <c r="FF41" s="166">
        <v>418.01666666666665</v>
      </c>
      <c r="FG41" s="166">
        <v>400.58333333333331</v>
      </c>
      <c r="FH41" s="166">
        <v>438.56111111111113</v>
      </c>
      <c r="FI41" s="166">
        <v>416.73888888888888</v>
      </c>
      <c r="FJ41" s="166">
        <v>403.17222222222222</v>
      </c>
      <c r="FK41" s="166">
        <v>428.80555555555554</v>
      </c>
      <c r="FL41" s="166">
        <v>457.22222222222223</v>
      </c>
      <c r="FM41" s="166">
        <v>445.11666666666667</v>
      </c>
      <c r="FN41" s="166">
        <v>429.03333333333336</v>
      </c>
      <c r="FO41" s="166">
        <v>418.32222222222219</v>
      </c>
      <c r="FP41" s="166">
        <v>2427.2555555555555</v>
      </c>
      <c r="FQ41" s="166">
        <v>831.97777777777776</v>
      </c>
      <c r="FR41" s="166">
        <v>1749.6944444444443</v>
      </c>
      <c r="FS41" s="166">
        <v>3635.2944444444447</v>
      </c>
      <c r="FT41" s="166">
        <v>5008.9277777777779</v>
      </c>
      <c r="FU41" s="166">
        <v>5384.9888888888891</v>
      </c>
      <c r="FV41" s="166">
        <v>734.00555555555559</v>
      </c>
      <c r="FW41" s="166">
        <v>70.483333333333334</v>
      </c>
      <c r="FX41" s="166">
        <v>804.48888888888894</v>
      </c>
      <c r="FY41" s="166">
        <v>5455.4722222222226</v>
      </c>
      <c r="FZ41" s="165">
        <v>5</v>
      </c>
      <c r="GA41" s="165">
        <v>377</v>
      </c>
      <c r="GB41" s="165">
        <v>382</v>
      </c>
      <c r="GC41" s="165">
        <v>381</v>
      </c>
      <c r="GD41" s="165">
        <v>338</v>
      </c>
      <c r="GE41" s="165">
        <v>408</v>
      </c>
      <c r="GF41" s="165">
        <v>424</v>
      </c>
      <c r="GG41" s="165">
        <v>400</v>
      </c>
      <c r="GH41" s="165">
        <v>445</v>
      </c>
      <c r="GI41" s="165">
        <v>425</v>
      </c>
      <c r="GJ41" s="165">
        <v>434</v>
      </c>
      <c r="GK41" s="165">
        <v>420</v>
      </c>
      <c r="GL41" s="165">
        <v>474</v>
      </c>
      <c r="GM41" s="165">
        <v>436</v>
      </c>
      <c r="GN41" s="165">
        <v>437</v>
      </c>
      <c r="GO41" s="165">
        <v>2396</v>
      </c>
      <c r="GP41" s="165">
        <v>859</v>
      </c>
      <c r="GQ41" s="165">
        <v>1767</v>
      </c>
      <c r="GR41" s="165">
        <v>3637</v>
      </c>
      <c r="GS41" s="165">
        <v>5022</v>
      </c>
      <c r="GT41" s="165">
        <v>5404</v>
      </c>
      <c r="GU41" s="165">
        <v>4</v>
      </c>
      <c r="GV41" s="165">
        <v>1696</v>
      </c>
      <c r="GW41" s="165">
        <v>717</v>
      </c>
      <c r="GX41" s="165">
        <v>85</v>
      </c>
      <c r="GY41" s="165">
        <v>802</v>
      </c>
      <c r="GZ41" s="165">
        <v>5489</v>
      </c>
      <c r="HA41" s="165">
        <v>592</v>
      </c>
      <c r="HB41" s="166">
        <v>346.15199999999987</v>
      </c>
      <c r="HC41" s="166">
        <v>328.15199999999987</v>
      </c>
      <c r="HD41" s="166">
        <v>143.15</v>
      </c>
      <c r="HE41" s="166">
        <v>118.97499999999999</v>
      </c>
      <c r="HF41" s="166"/>
      <c r="HG41" s="166">
        <v>353.428</v>
      </c>
      <c r="HH41" s="166">
        <v>42</v>
      </c>
      <c r="HI41" s="166">
        <v>795</v>
      </c>
      <c r="HJ41" s="166">
        <v>837</v>
      </c>
      <c r="HK41" s="166">
        <v>712</v>
      </c>
      <c r="HL41" s="166">
        <v>83</v>
      </c>
      <c r="HM41" s="166">
        <v>54</v>
      </c>
      <c r="HN41" s="166">
        <v>369</v>
      </c>
      <c r="HO41" s="166">
        <v>4848</v>
      </c>
      <c r="HP41" s="166">
        <v>0</v>
      </c>
      <c r="HQ41" s="166">
        <v>0</v>
      </c>
      <c r="HR41" s="166">
        <v>0</v>
      </c>
      <c r="HS41" s="166">
        <v>5217</v>
      </c>
      <c r="HT41" s="166">
        <f>FY26_FE_Data_April15[[#This Row],[Oct 1, 2026 (CDC) - K]]+FY26_FE_Data_April15[[#This Row],[Oct 1, 2026 (CDC) - Grades 1-6]]+FY26_FE_Data_April15[[#This Row],[Oct 1, 2026 (CDC) - Grades 7-8]]</f>
        <v>369</v>
      </c>
      <c r="HU41" s="166">
        <v>0</v>
      </c>
    </row>
    <row r="42" spans="1:233" ht="39">
      <c r="A42" s="158">
        <v>41</v>
      </c>
      <c r="B42" s="159">
        <v>410</v>
      </c>
      <c r="C42" s="160" t="s">
        <v>363</v>
      </c>
      <c r="D42" s="160" t="s">
        <v>364</v>
      </c>
      <c r="E42" s="159" t="s">
        <v>784</v>
      </c>
      <c r="F42" s="159" t="s">
        <v>784</v>
      </c>
      <c r="G42" s="159"/>
      <c r="H42" s="161">
        <v>0</v>
      </c>
      <c r="I42" s="161">
        <v>182.65</v>
      </c>
      <c r="J42" s="161">
        <v>182.65</v>
      </c>
      <c r="K42" s="162">
        <v>30</v>
      </c>
      <c r="L42" s="162">
        <v>93</v>
      </c>
      <c r="M42" s="162">
        <v>16</v>
      </c>
      <c r="N42" s="162">
        <v>47</v>
      </c>
      <c r="O42" s="162">
        <v>186</v>
      </c>
      <c r="P42" s="162">
        <v>156</v>
      </c>
      <c r="Q42" s="162">
        <v>139</v>
      </c>
      <c r="R42" s="162">
        <v>174</v>
      </c>
      <c r="S42" s="160">
        <v>3.2888888888888888</v>
      </c>
      <c r="T42" s="160">
        <v>0.31666666666666665</v>
      </c>
      <c r="U42" s="160">
        <v>1.6277777777777778</v>
      </c>
      <c r="V42" s="160">
        <v>5.5555555555555558E-3</v>
      </c>
      <c r="W42" s="160">
        <v>0.11666666666666667</v>
      </c>
      <c r="X42" s="160">
        <v>2.3222222222222224</v>
      </c>
      <c r="Y42" s="160">
        <v>1.4166666666666667</v>
      </c>
      <c r="Z42" s="160">
        <v>1.1111111111111112E-2</v>
      </c>
      <c r="AA42" s="160">
        <v>0</v>
      </c>
      <c r="AB42" s="160">
        <v>3.3333333333333333E-2</v>
      </c>
      <c r="AC42" s="160">
        <v>2.0444444444444443</v>
      </c>
      <c r="AD42" s="160">
        <v>7.7777777777777779E-2</v>
      </c>
      <c r="AE42" s="160">
        <v>0</v>
      </c>
      <c r="AF42" s="160">
        <v>5.8055555555555562</v>
      </c>
      <c r="AG42" s="160">
        <v>1.1111111111111112E-2</v>
      </c>
      <c r="AH42" s="160">
        <v>2.1555555555555554</v>
      </c>
      <c r="AI42" s="160">
        <v>9.1055555555555543</v>
      </c>
      <c r="AJ42" s="160">
        <v>7.9722222222222223</v>
      </c>
      <c r="AK42" s="160">
        <v>11.261111111111109</v>
      </c>
      <c r="AL42" s="161">
        <v>0</v>
      </c>
      <c r="AM42" s="161">
        <v>172.96666666666667</v>
      </c>
      <c r="AN42" s="161">
        <v>172.96666666666667</v>
      </c>
      <c r="AO42" s="161">
        <v>184.22777777777779</v>
      </c>
      <c r="AP42" s="162">
        <v>33</v>
      </c>
      <c r="AQ42" s="168">
        <v>27</v>
      </c>
      <c r="AR42" s="160">
        <v>21</v>
      </c>
      <c r="AS42" s="160">
        <v>17</v>
      </c>
      <c r="AT42" s="160">
        <v>13</v>
      </c>
      <c r="AU42" s="160">
        <v>15</v>
      </c>
      <c r="AV42" s="160">
        <v>14</v>
      </c>
      <c r="AW42" s="160">
        <v>5</v>
      </c>
      <c r="AX42" s="160">
        <v>7</v>
      </c>
      <c r="AY42" s="160">
        <v>9</v>
      </c>
      <c r="AZ42" s="160">
        <v>12</v>
      </c>
      <c r="BA42" s="160">
        <v>13</v>
      </c>
      <c r="BB42" s="160">
        <v>10</v>
      </c>
      <c r="BC42" s="160">
        <v>107</v>
      </c>
      <c r="BD42" s="160">
        <v>12</v>
      </c>
      <c r="BE42" s="160">
        <v>44</v>
      </c>
      <c r="BF42" s="160">
        <v>152</v>
      </c>
      <c r="BG42" s="160">
        <v>163</v>
      </c>
      <c r="BH42" s="160">
        <v>196</v>
      </c>
      <c r="BI42" s="160">
        <v>33</v>
      </c>
      <c r="BJ42" s="160">
        <v>0</v>
      </c>
      <c r="BK42" s="160">
        <v>0</v>
      </c>
      <c r="BL42" s="160">
        <v>68</v>
      </c>
      <c r="BM42" s="160">
        <v>0</v>
      </c>
      <c r="BN42" s="162">
        <v>178</v>
      </c>
      <c r="BO42" s="162">
        <v>178</v>
      </c>
      <c r="BP42" s="162">
        <v>0</v>
      </c>
      <c r="BQ42" s="163">
        <v>0.10238701364007774</v>
      </c>
      <c r="BR42" s="164">
        <v>191.28900000000004</v>
      </c>
      <c r="BS42" s="164">
        <v>186.33000000000004</v>
      </c>
      <c r="BT42" s="164">
        <v>165.62</v>
      </c>
      <c r="BU42" s="164">
        <v>194.28900000000002</v>
      </c>
      <c r="BV42" s="165">
        <v>0</v>
      </c>
      <c r="BW42" s="165">
        <v>0</v>
      </c>
      <c r="BX42" s="166">
        <v>0</v>
      </c>
      <c r="BY42" s="166">
        <v>0</v>
      </c>
      <c r="BZ42" s="166">
        <v>4.8666660000000004</v>
      </c>
      <c r="CA42" s="166">
        <v>4.8666666666666663</v>
      </c>
      <c r="CB42" s="166">
        <v>2.3722222222222222</v>
      </c>
      <c r="CC42" s="166">
        <v>1.0277777777777777</v>
      </c>
      <c r="CD42" s="166">
        <v>3.2222222222222223</v>
      </c>
      <c r="CE42" s="166">
        <v>0.17222222222222222</v>
      </c>
      <c r="CF42" s="166">
        <v>1.05</v>
      </c>
      <c r="CG42" s="166">
        <v>2</v>
      </c>
      <c r="CH42" s="166">
        <v>0</v>
      </c>
      <c r="CI42" s="166">
        <v>2.7777777777777776E-2</v>
      </c>
      <c r="CJ42" s="166">
        <v>0</v>
      </c>
      <c r="CK42" s="166">
        <v>2.2222222222222223E-2</v>
      </c>
      <c r="CL42" s="166">
        <v>2</v>
      </c>
      <c r="CM42" s="166">
        <v>5.5555555555555558E-3</v>
      </c>
      <c r="CN42" s="166">
        <v>9.844444444444445</v>
      </c>
      <c r="CO42" s="166">
        <v>2.7777777777777776E-2</v>
      </c>
      <c r="CP42" s="166">
        <v>2.0277777777777777</v>
      </c>
      <c r="CQ42" s="166">
        <v>14.738888888888889</v>
      </c>
      <c r="CR42" s="166">
        <v>11.900000000000002</v>
      </c>
      <c r="CS42" s="166">
        <v>16.766666666666669</v>
      </c>
      <c r="CT42" s="166">
        <v>0</v>
      </c>
      <c r="CU42" s="166">
        <v>179.544444444444</v>
      </c>
      <c r="CV42" s="166">
        <v>179.544444444444</v>
      </c>
      <c r="CW42" s="166">
        <v>196.31111111111068</v>
      </c>
      <c r="CX42" s="166">
        <v>0</v>
      </c>
      <c r="CY42" s="166">
        <v>0</v>
      </c>
      <c r="CZ42" s="165">
        <v>0</v>
      </c>
      <c r="DA42" s="165">
        <v>0</v>
      </c>
      <c r="DB42" s="165">
        <v>0</v>
      </c>
      <c r="DC42" s="165">
        <v>0</v>
      </c>
      <c r="DD42" s="165">
        <v>0</v>
      </c>
      <c r="DE42" s="165">
        <v>0</v>
      </c>
      <c r="DF42" s="165">
        <v>0</v>
      </c>
      <c r="DG42" s="165">
        <v>0</v>
      </c>
      <c r="DH42" s="165">
        <v>0</v>
      </c>
      <c r="DI42" s="165">
        <v>0</v>
      </c>
      <c r="DJ42" s="165">
        <v>0</v>
      </c>
      <c r="DK42" s="165">
        <v>0</v>
      </c>
      <c r="DL42" s="165">
        <v>0</v>
      </c>
      <c r="DM42" s="165">
        <v>0</v>
      </c>
      <c r="DN42" s="165">
        <v>0</v>
      </c>
      <c r="DO42" s="165">
        <v>0</v>
      </c>
      <c r="DP42" s="165">
        <v>0</v>
      </c>
      <c r="DQ42" s="165">
        <v>0</v>
      </c>
      <c r="DR42" s="165">
        <v>0</v>
      </c>
      <c r="DS42" s="165">
        <v>0</v>
      </c>
      <c r="DT42" s="165">
        <v>0</v>
      </c>
      <c r="DU42" s="165">
        <v>0</v>
      </c>
      <c r="DV42" s="165">
        <v>0</v>
      </c>
      <c r="DW42" s="165">
        <v>0</v>
      </c>
      <c r="DX42" s="165">
        <v>0</v>
      </c>
      <c r="DY42" s="165">
        <v>0</v>
      </c>
      <c r="DZ42" s="165">
        <v>0</v>
      </c>
      <c r="EA42" s="166">
        <v>197.5325</v>
      </c>
      <c r="EB42" s="166">
        <v>192.36999999999998</v>
      </c>
      <c r="EC42" s="166">
        <v>89.990000000000009</v>
      </c>
      <c r="ED42" s="166">
        <v>73.59</v>
      </c>
      <c r="EE42" s="166">
        <v>0</v>
      </c>
      <c r="EF42" s="166">
        <v>216.23600000000002</v>
      </c>
      <c r="EG42" s="167">
        <v>0.10137975462209625</v>
      </c>
      <c r="EH42" s="165"/>
      <c r="EI42" s="165">
        <v>0</v>
      </c>
      <c r="EJ42" s="165">
        <v>0</v>
      </c>
      <c r="EK42" s="165"/>
      <c r="EL42" s="165"/>
      <c r="EM42" s="166"/>
      <c r="EN42" s="165">
        <v>0</v>
      </c>
      <c r="EO42" s="165">
        <v>86</v>
      </c>
      <c r="EP42" s="165">
        <v>191</v>
      </c>
      <c r="EQ42" s="165">
        <v>277</v>
      </c>
      <c r="ER42" s="165">
        <v>0</v>
      </c>
      <c r="ES42" s="165">
        <v>191</v>
      </c>
      <c r="ET42" s="165">
        <v>37</v>
      </c>
      <c r="EU42" s="166">
        <v>126</v>
      </c>
      <c r="EV42" s="166">
        <v>7</v>
      </c>
      <c r="EW42" s="166">
        <v>17</v>
      </c>
      <c r="EX42" s="166">
        <v>64</v>
      </c>
      <c r="EY42" s="166">
        <v>53</v>
      </c>
      <c r="EZ42" s="166">
        <v>267</v>
      </c>
      <c r="FA42" s="166">
        <v>0</v>
      </c>
      <c r="FB42" s="166">
        <v>2.6055555555555556</v>
      </c>
      <c r="FC42" s="166">
        <v>2.6055555555555556</v>
      </c>
      <c r="FD42" s="166">
        <v>4.427777777777778</v>
      </c>
      <c r="FE42" s="166">
        <v>2.3833333333333333</v>
      </c>
      <c r="FF42" s="166">
        <v>1.7166666666666666</v>
      </c>
      <c r="FG42" s="166">
        <v>3.9944444444444445</v>
      </c>
      <c r="FH42" s="166">
        <v>1.1055555555555556</v>
      </c>
      <c r="FI42" s="166">
        <v>1</v>
      </c>
      <c r="FJ42" s="166">
        <v>1.9277777777777778</v>
      </c>
      <c r="FK42" s="166">
        <v>0.55555555555555558</v>
      </c>
      <c r="FL42" s="166">
        <v>0.21111111111111111</v>
      </c>
      <c r="FM42" s="166">
        <v>0.40555555555555556</v>
      </c>
      <c r="FN42" s="166">
        <v>5.5555555555555558E-3</v>
      </c>
      <c r="FO42" s="166">
        <v>1.9444444444444444</v>
      </c>
      <c r="FP42" s="166">
        <v>14.627777777777778</v>
      </c>
      <c r="FQ42" s="166">
        <v>2.4833333333333334</v>
      </c>
      <c r="FR42" s="166">
        <v>2.5666666666666664</v>
      </c>
      <c r="FS42" s="166">
        <v>19.716666666666665</v>
      </c>
      <c r="FT42" s="166">
        <v>19.677777777777781</v>
      </c>
      <c r="FU42" s="166">
        <v>22.283333333333331</v>
      </c>
      <c r="FV42" s="166">
        <v>0</v>
      </c>
      <c r="FW42" s="166">
        <v>189.34444444444443</v>
      </c>
      <c r="FX42" s="166">
        <v>189.34444444444443</v>
      </c>
      <c r="FY42" s="166">
        <v>211.62777777777777</v>
      </c>
      <c r="FZ42" s="165">
        <v>0</v>
      </c>
      <c r="GA42" s="165">
        <v>27</v>
      </c>
      <c r="GB42" s="165">
        <v>27</v>
      </c>
      <c r="GC42" s="165">
        <v>23</v>
      </c>
      <c r="GD42" s="165">
        <v>23</v>
      </c>
      <c r="GE42" s="165">
        <v>27</v>
      </c>
      <c r="GF42" s="165">
        <v>19</v>
      </c>
      <c r="GG42" s="165">
        <v>12</v>
      </c>
      <c r="GH42" s="165">
        <v>12</v>
      </c>
      <c r="GI42" s="165">
        <v>13</v>
      </c>
      <c r="GJ42" s="165">
        <v>16</v>
      </c>
      <c r="GK42" s="165">
        <v>8</v>
      </c>
      <c r="GL42" s="165">
        <v>15</v>
      </c>
      <c r="GM42" s="165">
        <v>10</v>
      </c>
      <c r="GN42" s="165">
        <v>25</v>
      </c>
      <c r="GO42" s="165">
        <v>116</v>
      </c>
      <c r="GP42" s="165">
        <v>29</v>
      </c>
      <c r="GQ42" s="165">
        <v>58</v>
      </c>
      <c r="GR42" s="165">
        <v>172</v>
      </c>
      <c r="GS42" s="165">
        <v>203</v>
      </c>
      <c r="GT42" s="165">
        <v>230</v>
      </c>
      <c r="GU42" s="165">
        <v>0</v>
      </c>
      <c r="GV42" s="165">
        <v>62</v>
      </c>
      <c r="GW42" s="165">
        <v>1</v>
      </c>
      <c r="GX42" s="165">
        <v>203</v>
      </c>
      <c r="GY42" s="165">
        <v>204</v>
      </c>
      <c r="GZ42" s="165">
        <v>433</v>
      </c>
      <c r="HA42" s="165">
        <v>5</v>
      </c>
      <c r="HB42" s="166">
        <v>200.27050000000003</v>
      </c>
      <c r="HC42" s="166">
        <v>196.56700000000001</v>
      </c>
      <c r="HD42" s="166">
        <v>91.487000000000023</v>
      </c>
      <c r="HE42" s="166">
        <v>73.38</v>
      </c>
      <c r="HF42" s="166"/>
      <c r="HG42" s="166">
        <v>209.97399999999999</v>
      </c>
      <c r="HH42" s="166">
        <v>90</v>
      </c>
      <c r="HI42" s="166">
        <v>207</v>
      </c>
      <c r="HJ42" s="166">
        <v>297</v>
      </c>
      <c r="HK42" s="166">
        <v>0</v>
      </c>
      <c r="HL42" s="166">
        <v>207</v>
      </c>
      <c r="HM42" s="166">
        <v>55</v>
      </c>
      <c r="HN42" s="166">
        <v>0</v>
      </c>
      <c r="HO42" s="166">
        <v>0</v>
      </c>
      <c r="HP42" s="166">
        <v>0</v>
      </c>
      <c r="HQ42" s="166">
        <v>0</v>
      </c>
      <c r="HR42" s="166">
        <v>0</v>
      </c>
      <c r="HS42" s="166">
        <v>0</v>
      </c>
      <c r="HT42" s="166">
        <f>FY26_FE_Data_April15[[#This Row],[Oct 1, 2026 (CDC) - K]]+FY26_FE_Data_April15[[#This Row],[Oct 1, 2026 (CDC) - Grades 1-6]]+FY26_FE_Data_April15[[#This Row],[Oct 1, 2026 (CDC) - Grades 7-8]]</f>
        <v>0</v>
      </c>
      <c r="HU42" s="166">
        <v>0</v>
      </c>
    </row>
    <row r="43" spans="1:233" ht="26">
      <c r="A43" s="158">
        <v>42</v>
      </c>
      <c r="B43" s="159" t="s">
        <v>365</v>
      </c>
      <c r="C43" s="160" t="s">
        <v>366</v>
      </c>
      <c r="D43" s="160" t="s">
        <v>87</v>
      </c>
      <c r="E43" s="159" t="s">
        <v>784</v>
      </c>
      <c r="F43" s="159" t="s">
        <v>784</v>
      </c>
      <c r="G43" s="159"/>
      <c r="H43" s="161">
        <v>3224.7944444444443</v>
      </c>
      <c r="I43" s="161">
        <v>555.25555555555559</v>
      </c>
      <c r="J43" s="161">
        <v>3780.0499999999997</v>
      </c>
      <c r="K43" s="162">
        <v>2067</v>
      </c>
      <c r="L43" s="162">
        <v>14189</v>
      </c>
      <c r="M43" s="162">
        <v>5322</v>
      </c>
      <c r="N43" s="162">
        <v>11355</v>
      </c>
      <c r="O43" s="162">
        <v>32933</v>
      </c>
      <c r="P43" s="162">
        <v>30866</v>
      </c>
      <c r="Q43" s="162">
        <v>21578</v>
      </c>
      <c r="R43" s="162">
        <v>656</v>
      </c>
      <c r="S43" s="160">
        <v>2030.2444444444445</v>
      </c>
      <c r="T43" s="160">
        <v>2186.9</v>
      </c>
      <c r="U43" s="160">
        <v>2289.1777777777779</v>
      </c>
      <c r="V43" s="160">
        <v>2415.9888888888891</v>
      </c>
      <c r="W43" s="160">
        <v>2340.1</v>
      </c>
      <c r="X43" s="160">
        <v>2376.25</v>
      </c>
      <c r="Y43" s="160">
        <v>2358.9944444444445</v>
      </c>
      <c r="Z43" s="160">
        <v>2562.6777777777779</v>
      </c>
      <c r="AA43" s="160">
        <v>2603.1722222222224</v>
      </c>
      <c r="AB43" s="160">
        <v>2939.0833333333335</v>
      </c>
      <c r="AC43" s="160">
        <v>2847.15</v>
      </c>
      <c r="AD43" s="160">
        <v>2768.8944444444446</v>
      </c>
      <c r="AE43" s="160">
        <v>2350.9166666666665</v>
      </c>
      <c r="AF43" s="160">
        <v>13967.411111111112</v>
      </c>
      <c r="AG43" s="160">
        <v>5165.8500000000004</v>
      </c>
      <c r="AH43" s="160">
        <v>10906.044444444444</v>
      </c>
      <c r="AI43" s="160">
        <v>21163.505555555555</v>
      </c>
      <c r="AJ43" s="160">
        <v>30039.305555555562</v>
      </c>
      <c r="AK43" s="160">
        <v>32069.550000000003</v>
      </c>
      <c r="AL43" s="161">
        <v>3258.5444444444443</v>
      </c>
      <c r="AM43" s="161">
        <v>616.02777777777783</v>
      </c>
      <c r="AN43" s="161">
        <v>3874.5722222222221</v>
      </c>
      <c r="AO43" s="161">
        <v>32685.57777777778</v>
      </c>
      <c r="AP43" s="162">
        <v>1948</v>
      </c>
      <c r="AQ43" s="168">
        <v>2197</v>
      </c>
      <c r="AR43" s="160">
        <v>2216</v>
      </c>
      <c r="AS43" s="160">
        <v>2363</v>
      </c>
      <c r="AT43" s="160">
        <v>2488</v>
      </c>
      <c r="AU43" s="160">
        <v>2384</v>
      </c>
      <c r="AV43" s="160">
        <v>2421</v>
      </c>
      <c r="AW43" s="160">
        <v>2469</v>
      </c>
      <c r="AX43" s="160">
        <v>2667</v>
      </c>
      <c r="AY43" s="160">
        <v>2922</v>
      </c>
      <c r="AZ43" s="160">
        <v>3037</v>
      </c>
      <c r="BA43" s="160">
        <v>2832</v>
      </c>
      <c r="BB43" s="160">
        <v>2789</v>
      </c>
      <c r="BC43" s="160">
        <v>14069</v>
      </c>
      <c r="BD43" s="160">
        <v>5136</v>
      </c>
      <c r="BE43" s="160">
        <v>11580</v>
      </c>
      <c r="BF43" s="160">
        <v>21153</v>
      </c>
      <c r="BG43" s="160">
        <v>30785</v>
      </c>
      <c r="BH43" s="160">
        <v>32733</v>
      </c>
      <c r="BI43" s="160">
        <v>1875</v>
      </c>
      <c r="BJ43" s="160">
        <v>73</v>
      </c>
      <c r="BK43" s="160">
        <v>20</v>
      </c>
      <c r="BL43" s="160">
        <v>8945</v>
      </c>
      <c r="BM43" s="160">
        <v>3283</v>
      </c>
      <c r="BN43" s="162">
        <v>620</v>
      </c>
      <c r="BO43" s="162">
        <v>3903</v>
      </c>
      <c r="BP43" s="162">
        <v>3486</v>
      </c>
      <c r="BQ43" s="163">
        <v>8.4486000567662978E-2</v>
      </c>
      <c r="BR43" s="164">
        <v>1965.1003199999986</v>
      </c>
      <c r="BS43" s="164">
        <v>1877.4333199999987</v>
      </c>
      <c r="BT43" s="164">
        <v>1666.1375199999998</v>
      </c>
      <c r="BU43" s="164">
        <v>1901.0335199999986</v>
      </c>
      <c r="BV43" s="165">
        <v>0</v>
      </c>
      <c r="BW43" s="165">
        <v>0</v>
      </c>
      <c r="BX43" s="166">
        <v>724.53888800000004</v>
      </c>
      <c r="BY43" s="166">
        <v>60.633333</v>
      </c>
      <c r="BZ43" s="166">
        <v>1863.55</v>
      </c>
      <c r="CA43" s="166">
        <v>1924.1833333333334</v>
      </c>
      <c r="CB43" s="166">
        <v>2164.5666666666666</v>
      </c>
      <c r="CC43" s="166">
        <v>2194.0944444444444</v>
      </c>
      <c r="CD43" s="166">
        <v>2331.1444444444446</v>
      </c>
      <c r="CE43" s="166">
        <v>2444.1833333333334</v>
      </c>
      <c r="CF43" s="166">
        <v>2346.0055555555555</v>
      </c>
      <c r="CG43" s="166">
        <v>2388.4499999999998</v>
      </c>
      <c r="CH43" s="166">
        <v>2402.2388888888891</v>
      </c>
      <c r="CI43" s="166">
        <v>2612.3166666666666</v>
      </c>
      <c r="CJ43" s="166">
        <v>2887.6833333333334</v>
      </c>
      <c r="CK43" s="166">
        <v>2972.1055555555554</v>
      </c>
      <c r="CL43" s="166">
        <v>2763.911111111111</v>
      </c>
      <c r="CM43" s="166">
        <v>2360.5333333333333</v>
      </c>
      <c r="CN43" s="166">
        <v>13868.444444444445</v>
      </c>
      <c r="CO43" s="166">
        <v>5014.5555555555557</v>
      </c>
      <c r="CP43" s="166">
        <v>10984.233333333332</v>
      </c>
      <c r="CQ43" s="166">
        <v>20807.183333333334</v>
      </c>
      <c r="CR43" s="166">
        <v>29867.233333333334</v>
      </c>
      <c r="CS43" s="166">
        <v>31791.416666666668</v>
      </c>
      <c r="CT43" s="166">
        <v>3350.9777777777799</v>
      </c>
      <c r="CU43" s="166">
        <v>613.82777777777801</v>
      </c>
      <c r="CV43" s="166">
        <v>3964.8055555555579</v>
      </c>
      <c r="CW43" s="166">
        <v>32405.244444444445</v>
      </c>
      <c r="CX43" s="166">
        <v>0</v>
      </c>
      <c r="CY43" s="166">
        <v>1877</v>
      </c>
      <c r="CZ43" s="165">
        <v>53</v>
      </c>
      <c r="DA43" s="165">
        <v>1930</v>
      </c>
      <c r="DB43" s="165">
        <v>1983</v>
      </c>
      <c r="DC43" s="165">
        <v>2241</v>
      </c>
      <c r="DD43" s="165">
        <v>2234</v>
      </c>
      <c r="DE43" s="165">
        <v>2359</v>
      </c>
      <c r="DF43" s="165">
        <v>2499</v>
      </c>
      <c r="DG43" s="165">
        <v>2416</v>
      </c>
      <c r="DH43" s="165">
        <v>2487</v>
      </c>
      <c r="DI43" s="165">
        <v>2455</v>
      </c>
      <c r="DJ43" s="165">
        <v>2933</v>
      </c>
      <c r="DK43" s="165">
        <v>2955</v>
      </c>
      <c r="DL43" s="165">
        <v>2990</v>
      </c>
      <c r="DM43" s="165">
        <v>2807</v>
      </c>
      <c r="DN43" s="165">
        <v>13732</v>
      </c>
      <c r="DO43" s="165">
        <v>4942</v>
      </c>
      <c r="DP43" s="165">
        <v>11685</v>
      </c>
      <c r="DQ43" s="165">
        <v>20604</v>
      </c>
      <c r="DR43" s="165">
        <v>30359</v>
      </c>
      <c r="DS43" s="165">
        <v>32289</v>
      </c>
      <c r="DT43" s="165">
        <v>15</v>
      </c>
      <c r="DU43" s="165">
        <v>8184</v>
      </c>
      <c r="DV43" s="165">
        <v>3225</v>
      </c>
      <c r="DW43" s="165">
        <v>596</v>
      </c>
      <c r="DX43" s="165">
        <v>3821</v>
      </c>
      <c r="DY43" s="165">
        <v>32885</v>
      </c>
      <c r="DZ43" s="165">
        <v>3591</v>
      </c>
      <c r="EA43" s="166">
        <v>1965.837749999999</v>
      </c>
      <c r="EB43" s="166">
        <v>1870.156749999999</v>
      </c>
      <c r="EC43" s="166">
        <v>758.87999999999988</v>
      </c>
      <c r="ED43" s="166">
        <v>761.76200000000006</v>
      </c>
      <c r="EE43" s="166">
        <v>0</v>
      </c>
      <c r="EF43" s="166">
        <v>1982.8397499999992</v>
      </c>
      <c r="EG43" s="167">
        <v>8.4448971770838099E-2</v>
      </c>
      <c r="EH43" s="165"/>
      <c r="EI43" s="165">
        <v>1910</v>
      </c>
      <c r="EJ43" s="165">
        <v>30052</v>
      </c>
      <c r="EK43" s="165"/>
      <c r="EL43" s="165"/>
      <c r="EM43" s="166"/>
      <c r="EN43" s="165">
        <v>31962</v>
      </c>
      <c r="EO43" s="165">
        <v>332</v>
      </c>
      <c r="EP43" s="165">
        <v>3825</v>
      </c>
      <c r="EQ43" s="165">
        <v>4157</v>
      </c>
      <c r="ER43" s="165">
        <v>3244</v>
      </c>
      <c r="ES43" s="165">
        <v>581</v>
      </c>
      <c r="ET43" s="165">
        <v>270</v>
      </c>
      <c r="EU43" s="166">
        <v>602.30999999999995</v>
      </c>
      <c r="EV43" s="166">
        <v>34.119999999999997</v>
      </c>
      <c r="EW43" s="166">
        <v>118.91</v>
      </c>
      <c r="EX43" s="166">
        <v>41.12</v>
      </c>
      <c r="EY43" s="166">
        <v>532.79999999999995</v>
      </c>
      <c r="EZ43" s="166">
        <v>1329.2599999999998</v>
      </c>
      <c r="FA43" s="166">
        <v>53.111111111111114</v>
      </c>
      <c r="FB43" s="166">
        <v>1857.7666666666667</v>
      </c>
      <c r="FC43" s="166">
        <v>1910.8777777777777</v>
      </c>
      <c r="FD43" s="166">
        <v>1940.4333333333334</v>
      </c>
      <c r="FE43" s="166">
        <v>2193.588888888889</v>
      </c>
      <c r="FF43" s="166">
        <v>2185.0611111111111</v>
      </c>
      <c r="FG43" s="166">
        <v>2317.1888888888889</v>
      </c>
      <c r="FH43" s="166">
        <v>2432.8555555555554</v>
      </c>
      <c r="FI43" s="166">
        <v>2365.5611111111111</v>
      </c>
      <c r="FJ43" s="166">
        <v>2444.3777777777777</v>
      </c>
      <c r="FK43" s="166">
        <v>2408.911111111111</v>
      </c>
      <c r="FL43" s="166">
        <v>2870.4944444444445</v>
      </c>
      <c r="FM43" s="166">
        <v>2880.7166666666667</v>
      </c>
      <c r="FN43" s="166">
        <v>2906.8444444444444</v>
      </c>
      <c r="FO43" s="166">
        <v>2396.5333333333333</v>
      </c>
      <c r="FP43" s="166">
        <v>13434.68888888889</v>
      </c>
      <c r="FQ43" s="166">
        <v>4853.2888888888883</v>
      </c>
      <c r="FR43" s="166">
        <v>11054.588888888889</v>
      </c>
      <c r="FS43" s="166">
        <v>20198.855555555558</v>
      </c>
      <c r="FT43" s="166">
        <v>29342.566666666666</v>
      </c>
      <c r="FU43" s="166">
        <v>31253.444444444445</v>
      </c>
      <c r="FV43" s="166">
        <v>3255.35</v>
      </c>
      <c r="FW43" s="166">
        <v>582.32777777777778</v>
      </c>
      <c r="FX43" s="166">
        <v>3837.6777777777779</v>
      </c>
      <c r="FY43" s="166">
        <v>31835.772222222222</v>
      </c>
      <c r="FZ43" s="165">
        <v>26</v>
      </c>
      <c r="GA43" s="165">
        <v>1755</v>
      </c>
      <c r="GB43" s="165">
        <v>1781</v>
      </c>
      <c r="GC43" s="165">
        <v>1970</v>
      </c>
      <c r="GD43" s="165">
        <v>2004</v>
      </c>
      <c r="GE43" s="165">
        <v>2258</v>
      </c>
      <c r="GF43" s="165">
        <v>2252</v>
      </c>
      <c r="GG43" s="165">
        <v>2318</v>
      </c>
      <c r="GH43" s="165">
        <v>2477</v>
      </c>
      <c r="GI43" s="165">
        <v>2474</v>
      </c>
      <c r="GJ43" s="165">
        <v>2481</v>
      </c>
      <c r="GK43" s="165">
        <v>2724</v>
      </c>
      <c r="GL43" s="165">
        <v>2904</v>
      </c>
      <c r="GM43" s="165">
        <v>2896</v>
      </c>
      <c r="GN43" s="165">
        <v>2960</v>
      </c>
      <c r="GO43" s="165">
        <v>13279</v>
      </c>
      <c r="GP43" s="165">
        <v>4955</v>
      </c>
      <c r="GQ43" s="165">
        <v>11484</v>
      </c>
      <c r="GR43" s="165">
        <v>20015</v>
      </c>
      <c r="GS43" s="165">
        <v>29718</v>
      </c>
      <c r="GT43" s="165">
        <v>31499</v>
      </c>
      <c r="GU43" s="165">
        <v>15</v>
      </c>
      <c r="GV43" s="165">
        <v>7723</v>
      </c>
      <c r="GW43" s="165">
        <v>3239</v>
      </c>
      <c r="GX43" s="165">
        <v>618</v>
      </c>
      <c r="GY43" s="165">
        <v>3857</v>
      </c>
      <c r="GZ43" s="165">
        <v>32117</v>
      </c>
      <c r="HA43" s="165">
        <v>3045</v>
      </c>
      <c r="HB43" s="166">
        <v>1951.4819999999995</v>
      </c>
      <c r="HC43" s="166">
        <v>1846.4819999999995</v>
      </c>
      <c r="HD43" s="166">
        <v>733.53800000000024</v>
      </c>
      <c r="HE43" s="166">
        <v>763.97900000000027</v>
      </c>
      <c r="HF43" s="166"/>
      <c r="HG43" s="166">
        <v>1963.607</v>
      </c>
      <c r="HH43" s="166">
        <v>326</v>
      </c>
      <c r="HI43" s="166">
        <v>3829</v>
      </c>
      <c r="HJ43" s="166">
        <v>4155</v>
      </c>
      <c r="HK43" s="166">
        <v>3186</v>
      </c>
      <c r="HL43" s="166">
        <v>643</v>
      </c>
      <c r="HM43" s="166">
        <v>422</v>
      </c>
      <c r="HN43" s="166">
        <v>1715</v>
      </c>
      <c r="HO43" s="166">
        <v>28616</v>
      </c>
      <c r="HP43" s="166">
        <v>0</v>
      </c>
      <c r="HQ43" s="166">
        <v>0</v>
      </c>
      <c r="HR43" s="166">
        <v>0</v>
      </c>
      <c r="HS43" s="166">
        <v>30331</v>
      </c>
      <c r="HT43" s="166">
        <f>FY26_FE_Data_April15[[#This Row],[Oct 1, 2026 (CDC) - K]]+FY26_FE_Data_April15[[#This Row],[Oct 1, 2026 (CDC) - Grades 1-6]]+FY26_FE_Data_April15[[#This Row],[Oct 1, 2026 (CDC) - Grades 7-8]]</f>
        <v>1715</v>
      </c>
      <c r="HU43" s="166">
        <v>0</v>
      </c>
      <c r="HX43" s="169"/>
    </row>
    <row r="44" spans="1:233" ht="39">
      <c r="A44" s="158">
        <v>68</v>
      </c>
      <c r="B44" s="159" t="s">
        <v>367</v>
      </c>
      <c r="C44" s="160" t="s">
        <v>368</v>
      </c>
      <c r="D44" s="160" t="s">
        <v>139</v>
      </c>
      <c r="E44" s="159" t="s">
        <v>784</v>
      </c>
      <c r="F44" s="159" t="s">
        <v>784</v>
      </c>
      <c r="G44" s="159"/>
      <c r="H44" s="161">
        <v>120.40555555555555</v>
      </c>
      <c r="I44" s="161">
        <v>7.2333333333333334</v>
      </c>
      <c r="J44" s="161">
        <v>127.63888888888889</v>
      </c>
      <c r="K44" s="162">
        <v>100</v>
      </c>
      <c r="L44" s="162">
        <v>594</v>
      </c>
      <c r="M44" s="162">
        <v>221</v>
      </c>
      <c r="N44" s="162">
        <v>108</v>
      </c>
      <c r="O44" s="162">
        <v>1023</v>
      </c>
      <c r="P44" s="162">
        <v>923</v>
      </c>
      <c r="Q44" s="162">
        <v>915</v>
      </c>
      <c r="R44" s="162">
        <v>7</v>
      </c>
      <c r="S44" s="160">
        <v>98.488888888888894</v>
      </c>
      <c r="T44" s="160">
        <v>100.84444444444445</v>
      </c>
      <c r="U44" s="160">
        <v>97.311111111111117</v>
      </c>
      <c r="V44" s="160">
        <v>101.72777777777777</v>
      </c>
      <c r="W44" s="160">
        <v>96.911111111111111</v>
      </c>
      <c r="X44" s="160">
        <v>88.527777777777771</v>
      </c>
      <c r="Y44" s="160">
        <v>99.87777777777778</v>
      </c>
      <c r="Z44" s="160">
        <v>112.67222222222222</v>
      </c>
      <c r="AA44" s="160">
        <v>105.02222222222223</v>
      </c>
      <c r="AB44" s="160">
        <v>103.75555555555556</v>
      </c>
      <c r="AC44" s="160">
        <v>0</v>
      </c>
      <c r="AD44" s="160">
        <v>0</v>
      </c>
      <c r="AE44" s="160">
        <v>0</v>
      </c>
      <c r="AF44" s="160">
        <v>585.19999999999993</v>
      </c>
      <c r="AG44" s="160">
        <v>217.69444444444446</v>
      </c>
      <c r="AH44" s="160">
        <v>103.75555555555556</v>
      </c>
      <c r="AI44" s="160">
        <v>901.38333333333333</v>
      </c>
      <c r="AJ44" s="160">
        <v>906.65</v>
      </c>
      <c r="AK44" s="160">
        <v>1005.1388888888889</v>
      </c>
      <c r="AL44" s="161">
        <v>131.34444444444443</v>
      </c>
      <c r="AM44" s="161">
        <v>11.122222222222222</v>
      </c>
      <c r="AN44" s="161">
        <v>142.46666666666667</v>
      </c>
      <c r="AO44" s="161">
        <v>1016.2611111111112</v>
      </c>
      <c r="AP44" s="162">
        <v>98</v>
      </c>
      <c r="AQ44" s="168">
        <v>101</v>
      </c>
      <c r="AR44" s="160">
        <v>95</v>
      </c>
      <c r="AS44" s="160">
        <v>98</v>
      </c>
      <c r="AT44" s="160">
        <v>106</v>
      </c>
      <c r="AU44" s="160">
        <v>111</v>
      </c>
      <c r="AV44" s="160">
        <v>93</v>
      </c>
      <c r="AW44" s="160">
        <v>108</v>
      </c>
      <c r="AX44" s="160">
        <v>106</v>
      </c>
      <c r="AY44" s="160">
        <v>99</v>
      </c>
      <c r="AZ44" s="160">
        <v>0</v>
      </c>
      <c r="BA44" s="160">
        <v>0</v>
      </c>
      <c r="BB44" s="160">
        <v>0</v>
      </c>
      <c r="BC44" s="160">
        <v>604</v>
      </c>
      <c r="BD44" s="160">
        <v>214</v>
      </c>
      <c r="BE44" s="160">
        <v>99</v>
      </c>
      <c r="BF44" s="160">
        <v>916</v>
      </c>
      <c r="BG44" s="160">
        <v>917</v>
      </c>
      <c r="BH44" s="160">
        <v>1015</v>
      </c>
      <c r="BI44" s="160">
        <v>98</v>
      </c>
      <c r="BJ44" s="160">
        <v>0</v>
      </c>
      <c r="BK44" s="160">
        <v>0</v>
      </c>
      <c r="BL44" s="160">
        <v>705</v>
      </c>
      <c r="BM44" s="160">
        <v>161</v>
      </c>
      <c r="BN44" s="162">
        <v>19</v>
      </c>
      <c r="BO44" s="162">
        <v>180</v>
      </c>
      <c r="BP44" s="162">
        <v>280</v>
      </c>
      <c r="BQ44" s="163">
        <v>7.2108160997694848E-2</v>
      </c>
      <c r="BR44" s="164">
        <v>75.372</v>
      </c>
      <c r="BS44" s="164">
        <v>71.372</v>
      </c>
      <c r="BT44" s="164">
        <v>68.471999999999994</v>
      </c>
      <c r="BU44" s="164">
        <v>76.372</v>
      </c>
      <c r="BV44" s="165">
        <v>0</v>
      </c>
      <c r="BW44" s="165">
        <v>0</v>
      </c>
      <c r="BX44" s="166">
        <v>0</v>
      </c>
      <c r="BY44" s="166">
        <v>0</v>
      </c>
      <c r="BZ44" s="166">
        <v>95.561110999999997</v>
      </c>
      <c r="CA44" s="166">
        <v>95.561111111111117</v>
      </c>
      <c r="CB44" s="166">
        <v>97.716666666666669</v>
      </c>
      <c r="CC44" s="166">
        <v>93.561111111111117</v>
      </c>
      <c r="CD44" s="166">
        <v>94.177777777777777</v>
      </c>
      <c r="CE44" s="166">
        <v>101.17777777777778</v>
      </c>
      <c r="CF44" s="166">
        <v>105.6</v>
      </c>
      <c r="CG44" s="166">
        <v>85.055555555555557</v>
      </c>
      <c r="CH44" s="166">
        <v>101.3</v>
      </c>
      <c r="CI44" s="166">
        <v>102.93333333333334</v>
      </c>
      <c r="CJ44" s="166">
        <v>95.444444444444443</v>
      </c>
      <c r="CK44" s="166">
        <v>0</v>
      </c>
      <c r="CL44" s="166">
        <v>0</v>
      </c>
      <c r="CM44" s="166">
        <v>0</v>
      </c>
      <c r="CN44" s="166">
        <v>577.28888888888889</v>
      </c>
      <c r="CO44" s="166">
        <v>204.23333333333335</v>
      </c>
      <c r="CP44" s="166">
        <v>95.444444444444443</v>
      </c>
      <c r="CQ44" s="166">
        <v>877.08333333333326</v>
      </c>
      <c r="CR44" s="166">
        <v>876.96666666666658</v>
      </c>
      <c r="CS44" s="166">
        <v>972.52777777777771</v>
      </c>
      <c r="CT44" s="166">
        <v>160.94999999999999</v>
      </c>
      <c r="CU44" s="166">
        <v>22.994444444444401</v>
      </c>
      <c r="CV44" s="166">
        <v>183.9444444444444</v>
      </c>
      <c r="CW44" s="166">
        <v>995.52222222222213</v>
      </c>
      <c r="CX44" s="166">
        <v>0</v>
      </c>
      <c r="CY44" s="166">
        <v>102</v>
      </c>
      <c r="CZ44" s="165">
        <v>0</v>
      </c>
      <c r="DA44" s="165">
        <v>102</v>
      </c>
      <c r="DB44" s="165">
        <v>97</v>
      </c>
      <c r="DC44" s="165">
        <v>101</v>
      </c>
      <c r="DD44" s="165">
        <v>91</v>
      </c>
      <c r="DE44" s="165">
        <v>90</v>
      </c>
      <c r="DF44" s="165">
        <v>103</v>
      </c>
      <c r="DG44" s="165">
        <v>112</v>
      </c>
      <c r="DH44" s="165">
        <v>87</v>
      </c>
      <c r="DI44" s="165">
        <v>100</v>
      </c>
      <c r="DJ44" s="165">
        <v>104</v>
      </c>
      <c r="DK44" s="165">
        <v>0</v>
      </c>
      <c r="DL44" s="165">
        <v>0</v>
      </c>
      <c r="DM44" s="165">
        <v>0</v>
      </c>
      <c r="DN44" s="165">
        <v>594</v>
      </c>
      <c r="DO44" s="165">
        <v>187</v>
      </c>
      <c r="DP44" s="165">
        <v>104</v>
      </c>
      <c r="DQ44" s="165">
        <v>883</v>
      </c>
      <c r="DR44" s="165">
        <v>885</v>
      </c>
      <c r="DS44" s="165">
        <v>987</v>
      </c>
      <c r="DT44" s="165">
        <v>0</v>
      </c>
      <c r="DU44" s="165">
        <v>649</v>
      </c>
      <c r="DV44" s="165">
        <v>144</v>
      </c>
      <c r="DW44" s="165">
        <v>26</v>
      </c>
      <c r="DX44" s="165">
        <v>170</v>
      </c>
      <c r="DY44" s="165">
        <v>1013</v>
      </c>
      <c r="DZ44" s="165">
        <v>253</v>
      </c>
      <c r="EA44" s="166">
        <v>75.138999999999996</v>
      </c>
      <c r="EB44" s="166">
        <v>70.138999999999996</v>
      </c>
      <c r="EC44" s="166">
        <v>33.75</v>
      </c>
      <c r="ED44" s="166">
        <v>21.42</v>
      </c>
      <c r="EE44" s="166">
        <v>0</v>
      </c>
      <c r="EF44" s="166">
        <v>77.688999999999979</v>
      </c>
      <c r="EG44" s="167">
        <v>6.510154066801721E-2</v>
      </c>
      <c r="EH44" s="165"/>
      <c r="EI44" s="165">
        <v>97</v>
      </c>
      <c r="EJ44" s="165">
        <v>904</v>
      </c>
      <c r="EK44" s="165">
        <v>586</v>
      </c>
      <c r="EL44" s="165">
        <v>212</v>
      </c>
      <c r="EM44" s="165">
        <v>106</v>
      </c>
      <c r="EN44" s="165">
        <v>1001</v>
      </c>
      <c r="EO44" s="165">
        <v>0</v>
      </c>
      <c r="EP44" s="165">
        <v>175</v>
      </c>
      <c r="EQ44" s="165">
        <v>175</v>
      </c>
      <c r="ER44" s="165">
        <v>153</v>
      </c>
      <c r="ES44" s="165">
        <v>22</v>
      </c>
      <c r="ET44" s="165">
        <v>25</v>
      </c>
      <c r="EU44" s="166">
        <v>29.469000000000001</v>
      </c>
      <c r="EV44" s="166">
        <v>3</v>
      </c>
      <c r="EW44" s="166">
        <v>10</v>
      </c>
      <c r="EX44" s="166">
        <v>0.33700000000000002</v>
      </c>
      <c r="EY44" s="166">
        <v>15.621</v>
      </c>
      <c r="EZ44" s="166">
        <v>58.427000000000007</v>
      </c>
      <c r="FA44" s="166">
        <v>0</v>
      </c>
      <c r="FB44" s="166">
        <v>102.50555555555556</v>
      </c>
      <c r="FC44" s="166">
        <v>102.50555555555556</v>
      </c>
      <c r="FD44" s="166">
        <v>93.24444444444444</v>
      </c>
      <c r="FE44" s="166">
        <v>99.411111111111111</v>
      </c>
      <c r="FF44" s="166">
        <v>87.566666666666663</v>
      </c>
      <c r="FG44" s="166">
        <v>89.894444444444446</v>
      </c>
      <c r="FH44" s="166">
        <v>97.022222222222226</v>
      </c>
      <c r="FI44" s="166">
        <v>106.81666666666666</v>
      </c>
      <c r="FJ44" s="166">
        <v>83.661111111111111</v>
      </c>
      <c r="FK44" s="166">
        <v>95.3</v>
      </c>
      <c r="FL44" s="166">
        <v>96.37777777777778</v>
      </c>
      <c r="FM44" s="166">
        <v>0</v>
      </c>
      <c r="FN44" s="166">
        <v>0</v>
      </c>
      <c r="FO44" s="166">
        <v>0</v>
      </c>
      <c r="FP44" s="166">
        <v>573.95555555555552</v>
      </c>
      <c r="FQ44" s="166">
        <v>178.96111111111111</v>
      </c>
      <c r="FR44" s="166">
        <v>96.37777777777778</v>
      </c>
      <c r="FS44" s="166">
        <v>855.4222222222221</v>
      </c>
      <c r="FT44" s="166">
        <v>849.29444444444437</v>
      </c>
      <c r="FU44" s="166">
        <v>951.79999999999984</v>
      </c>
      <c r="FV44" s="166">
        <v>158.46666666666667</v>
      </c>
      <c r="FW44" s="166">
        <v>19.527777777777779</v>
      </c>
      <c r="FX44" s="166">
        <v>177.99444444444444</v>
      </c>
      <c r="FY44" s="166">
        <v>971.32777777777767</v>
      </c>
      <c r="FZ44" s="165">
        <v>0</v>
      </c>
      <c r="GA44" s="165">
        <v>100</v>
      </c>
      <c r="GB44" s="165">
        <v>100</v>
      </c>
      <c r="GC44" s="165">
        <v>105</v>
      </c>
      <c r="GD44" s="165">
        <v>95</v>
      </c>
      <c r="GE44" s="165">
        <v>107</v>
      </c>
      <c r="GF44" s="165">
        <v>83</v>
      </c>
      <c r="GG44" s="165">
        <v>101</v>
      </c>
      <c r="GH44" s="165">
        <v>94</v>
      </c>
      <c r="GI44" s="165">
        <v>103</v>
      </c>
      <c r="GJ44" s="165">
        <v>85</v>
      </c>
      <c r="GK44" s="165">
        <v>101</v>
      </c>
      <c r="GL44" s="165">
        <v>0</v>
      </c>
      <c r="GM44" s="165">
        <v>0</v>
      </c>
      <c r="GN44" s="165">
        <v>0</v>
      </c>
      <c r="GO44" s="165">
        <v>585</v>
      </c>
      <c r="GP44" s="165">
        <v>188</v>
      </c>
      <c r="GQ44" s="165">
        <v>101</v>
      </c>
      <c r="GR44" s="165">
        <v>873</v>
      </c>
      <c r="GS44" s="165">
        <v>874</v>
      </c>
      <c r="GT44" s="165">
        <v>974</v>
      </c>
      <c r="GU44" s="165">
        <v>0</v>
      </c>
      <c r="GV44" s="165">
        <v>646</v>
      </c>
      <c r="GW44" s="165">
        <v>164</v>
      </c>
      <c r="GX44" s="165">
        <v>18</v>
      </c>
      <c r="GY44" s="165">
        <v>182</v>
      </c>
      <c r="GZ44" s="165">
        <v>992</v>
      </c>
      <c r="HA44" s="165">
        <v>244</v>
      </c>
      <c r="HB44" s="166">
        <v>74.063000000000002</v>
      </c>
      <c r="HC44" s="166">
        <v>68.283000000000001</v>
      </c>
      <c r="HD44" s="166">
        <v>31.8</v>
      </c>
      <c r="HE44" s="166">
        <v>20.57</v>
      </c>
      <c r="HF44" s="166"/>
      <c r="HG44" s="166">
        <v>76.313000000000002</v>
      </c>
      <c r="HH44" s="166">
        <v>0</v>
      </c>
      <c r="HI44" s="166">
        <v>192</v>
      </c>
      <c r="HJ44" s="166">
        <v>192</v>
      </c>
      <c r="HK44" s="166">
        <v>172</v>
      </c>
      <c r="HL44" s="166">
        <v>20</v>
      </c>
      <c r="HM44" s="166">
        <v>18</v>
      </c>
      <c r="HN44" s="166">
        <v>90</v>
      </c>
      <c r="HO44" s="166">
        <v>928</v>
      </c>
      <c r="HP44" s="166">
        <v>612</v>
      </c>
      <c r="HQ44" s="166">
        <v>211</v>
      </c>
      <c r="HR44" s="166">
        <v>105</v>
      </c>
      <c r="HS44" s="166">
        <v>1018</v>
      </c>
      <c r="HT44" s="166">
        <f>FY26_FE_Data_April15[[#This Row],[Oct 1, 2026 (CDC) - K]]+FY26_FE_Data_April15[[#This Row],[Oct 1, 2026 (CDC) - Grades 1-6]]+FY26_FE_Data_April15[[#This Row],[Oct 1, 2026 (CDC) - Grades 7-8]]</f>
        <v>913</v>
      </c>
      <c r="HU44" s="166">
        <v>0</v>
      </c>
      <c r="HW44" s="170"/>
      <c r="HY44" s="170"/>
    </row>
    <row r="45" spans="1:233" ht="26">
      <c r="A45" s="158">
        <v>70</v>
      </c>
      <c r="B45" s="159">
        <v>700</v>
      </c>
      <c r="C45" s="160" t="s">
        <v>369</v>
      </c>
      <c r="D45" s="160" t="s">
        <v>364</v>
      </c>
      <c r="E45" s="159" t="s">
        <v>784</v>
      </c>
      <c r="F45" s="159" t="s">
        <v>784</v>
      </c>
      <c r="G45" s="159"/>
      <c r="H45" s="161">
        <v>0</v>
      </c>
      <c r="I45" s="161">
        <v>0</v>
      </c>
      <c r="J45" s="161">
        <v>0</v>
      </c>
      <c r="K45" s="162">
        <v>0</v>
      </c>
      <c r="L45" s="162">
        <v>0</v>
      </c>
      <c r="M45" s="162">
        <v>0</v>
      </c>
      <c r="N45" s="162">
        <v>0</v>
      </c>
      <c r="O45" s="162">
        <v>0</v>
      </c>
      <c r="P45" s="162">
        <v>0</v>
      </c>
      <c r="Q45" s="162">
        <v>0</v>
      </c>
      <c r="R45" s="162">
        <v>0</v>
      </c>
      <c r="S45" s="160">
        <v>0</v>
      </c>
      <c r="T45" s="160">
        <v>0</v>
      </c>
      <c r="U45" s="160">
        <v>0</v>
      </c>
      <c r="V45" s="160">
        <v>0</v>
      </c>
      <c r="W45" s="160">
        <v>0</v>
      </c>
      <c r="X45" s="160">
        <v>0</v>
      </c>
      <c r="Y45" s="160">
        <v>0</v>
      </c>
      <c r="Z45" s="160">
        <v>0</v>
      </c>
      <c r="AA45" s="160">
        <v>0</v>
      </c>
      <c r="AB45" s="160">
        <v>0</v>
      </c>
      <c r="AC45" s="160">
        <v>0</v>
      </c>
      <c r="AD45" s="160">
        <v>0</v>
      </c>
      <c r="AE45" s="160">
        <v>0</v>
      </c>
      <c r="AF45" s="160">
        <v>0</v>
      </c>
      <c r="AG45" s="160">
        <v>0</v>
      </c>
      <c r="AH45" s="160">
        <v>0</v>
      </c>
      <c r="AI45" s="160">
        <v>0</v>
      </c>
      <c r="AJ45" s="160">
        <v>0</v>
      </c>
      <c r="AK45" s="160">
        <v>0</v>
      </c>
      <c r="AL45" s="161">
        <v>0</v>
      </c>
      <c r="AM45" s="161">
        <v>0</v>
      </c>
      <c r="AN45" s="161">
        <v>0</v>
      </c>
      <c r="AO45" s="161">
        <v>0</v>
      </c>
      <c r="AP45" s="162">
        <v>0</v>
      </c>
      <c r="AQ45" s="168">
        <v>0</v>
      </c>
      <c r="AR45" s="160">
        <v>0</v>
      </c>
      <c r="AS45" s="160">
        <v>0</v>
      </c>
      <c r="AT45" s="160">
        <v>0</v>
      </c>
      <c r="AU45" s="160">
        <v>0</v>
      </c>
      <c r="AV45" s="160">
        <v>0</v>
      </c>
      <c r="AW45" s="160">
        <v>0</v>
      </c>
      <c r="AX45" s="160">
        <v>0</v>
      </c>
      <c r="AY45" s="160">
        <v>0</v>
      </c>
      <c r="AZ45" s="160">
        <v>0</v>
      </c>
      <c r="BA45" s="160">
        <v>0</v>
      </c>
      <c r="BB45" s="160">
        <v>0</v>
      </c>
      <c r="BC45" s="160">
        <v>0</v>
      </c>
      <c r="BD45" s="160">
        <v>0</v>
      </c>
      <c r="BE45" s="160">
        <v>0</v>
      </c>
      <c r="BF45" s="160">
        <v>0</v>
      </c>
      <c r="BG45" s="160">
        <v>0</v>
      </c>
      <c r="BH45" s="160">
        <v>0</v>
      </c>
      <c r="BI45" s="160">
        <v>0</v>
      </c>
      <c r="BJ45" s="160">
        <v>0</v>
      </c>
      <c r="BK45" s="160">
        <v>0</v>
      </c>
      <c r="BL45" s="160">
        <v>0</v>
      </c>
      <c r="BM45" s="160">
        <v>0</v>
      </c>
      <c r="BN45" s="162">
        <v>0</v>
      </c>
      <c r="BO45" s="162">
        <v>0</v>
      </c>
      <c r="BP45" s="162">
        <v>0</v>
      </c>
      <c r="BQ45" s="163">
        <v>0</v>
      </c>
      <c r="BR45" s="164">
        <v>0</v>
      </c>
      <c r="BS45" s="164">
        <v>0</v>
      </c>
      <c r="BT45" s="164">
        <v>0</v>
      </c>
      <c r="BU45" s="164">
        <v>0</v>
      </c>
      <c r="BV45" s="165">
        <v>0</v>
      </c>
      <c r="BW45" s="165">
        <v>0</v>
      </c>
      <c r="BX45" s="166">
        <v>0</v>
      </c>
      <c r="BY45" s="166">
        <v>0</v>
      </c>
      <c r="BZ45" s="166">
        <v>0</v>
      </c>
      <c r="CA45" s="166">
        <v>0</v>
      </c>
      <c r="CB45" s="166">
        <v>0</v>
      </c>
      <c r="CC45" s="166">
        <v>0</v>
      </c>
      <c r="CD45" s="166">
        <v>0</v>
      </c>
      <c r="CE45" s="166">
        <v>0</v>
      </c>
      <c r="CF45" s="166">
        <v>0</v>
      </c>
      <c r="CG45" s="166">
        <v>0</v>
      </c>
      <c r="CH45" s="166">
        <v>0</v>
      </c>
      <c r="CI45" s="166">
        <v>0</v>
      </c>
      <c r="CJ45" s="166">
        <v>0</v>
      </c>
      <c r="CK45" s="166">
        <v>0</v>
      </c>
      <c r="CL45" s="166">
        <v>0</v>
      </c>
      <c r="CM45" s="166">
        <v>0</v>
      </c>
      <c r="CN45" s="166">
        <v>0</v>
      </c>
      <c r="CO45" s="166">
        <v>0</v>
      </c>
      <c r="CP45" s="166">
        <v>0</v>
      </c>
      <c r="CQ45" s="166">
        <v>0</v>
      </c>
      <c r="CR45" s="166">
        <v>0</v>
      </c>
      <c r="CS45" s="166">
        <v>0</v>
      </c>
      <c r="CT45" s="166">
        <v>0</v>
      </c>
      <c r="CU45" s="166">
        <v>0</v>
      </c>
      <c r="CV45" s="166">
        <v>0</v>
      </c>
      <c r="CW45" s="166">
        <v>0</v>
      </c>
      <c r="CX45" s="166">
        <v>0</v>
      </c>
      <c r="CY45" s="166">
        <v>0</v>
      </c>
      <c r="CZ45" s="165">
        <v>0</v>
      </c>
      <c r="DA45" s="165">
        <v>0</v>
      </c>
      <c r="DB45" s="165">
        <v>0</v>
      </c>
      <c r="DC45" s="165">
        <v>0</v>
      </c>
      <c r="DD45" s="165">
        <v>0</v>
      </c>
      <c r="DE45" s="165">
        <v>0</v>
      </c>
      <c r="DF45" s="165">
        <v>0</v>
      </c>
      <c r="DG45" s="165">
        <v>0</v>
      </c>
      <c r="DH45" s="165">
        <v>0</v>
      </c>
      <c r="DI45" s="165">
        <v>0</v>
      </c>
      <c r="DJ45" s="165">
        <v>0</v>
      </c>
      <c r="DK45" s="165">
        <v>0</v>
      </c>
      <c r="DL45" s="165">
        <v>0</v>
      </c>
      <c r="DM45" s="165">
        <v>0</v>
      </c>
      <c r="DN45" s="165">
        <v>0</v>
      </c>
      <c r="DO45" s="165">
        <v>0</v>
      </c>
      <c r="DP45" s="165">
        <v>0</v>
      </c>
      <c r="DQ45" s="165">
        <v>0</v>
      </c>
      <c r="DR45" s="165">
        <v>0</v>
      </c>
      <c r="DS45" s="165">
        <v>0</v>
      </c>
      <c r="DT45" s="165">
        <v>0</v>
      </c>
      <c r="DU45" s="165">
        <v>0</v>
      </c>
      <c r="DV45" s="165">
        <v>0</v>
      </c>
      <c r="DW45" s="165">
        <v>0</v>
      </c>
      <c r="DX45" s="165">
        <v>0</v>
      </c>
      <c r="DY45" s="165">
        <v>0</v>
      </c>
      <c r="DZ45" s="165">
        <v>0</v>
      </c>
      <c r="EA45" s="166">
        <v>3</v>
      </c>
      <c r="EB45" s="166">
        <v>3</v>
      </c>
      <c r="EC45" s="166">
        <v>0</v>
      </c>
      <c r="ED45" s="166">
        <v>0</v>
      </c>
      <c r="EE45" s="166">
        <v>0</v>
      </c>
      <c r="EF45" s="166">
        <v>0</v>
      </c>
      <c r="EG45" s="167">
        <v>0</v>
      </c>
      <c r="EH45" s="165"/>
      <c r="EI45" s="165">
        <v>0</v>
      </c>
      <c r="EJ45" s="165">
        <v>0</v>
      </c>
      <c r="EK45" s="165">
        <v>0</v>
      </c>
      <c r="EL45" s="165">
        <v>0</v>
      </c>
      <c r="EM45" s="165">
        <v>0</v>
      </c>
      <c r="EN45" s="165">
        <v>0</v>
      </c>
      <c r="EO45" s="165">
        <v>0</v>
      </c>
      <c r="EP45" s="165">
        <v>0</v>
      </c>
      <c r="EQ45" s="165">
        <v>0</v>
      </c>
      <c r="ER45" s="165">
        <v>0</v>
      </c>
      <c r="ES45" s="165">
        <v>0</v>
      </c>
      <c r="ET45" s="165">
        <v>0</v>
      </c>
      <c r="EU45" s="166">
        <v>0</v>
      </c>
      <c r="EV45" s="166">
        <v>0</v>
      </c>
      <c r="EW45" s="166">
        <v>0</v>
      </c>
      <c r="EX45" s="166">
        <v>0</v>
      </c>
      <c r="EY45" s="166">
        <v>0</v>
      </c>
      <c r="EZ45" s="166">
        <v>0</v>
      </c>
      <c r="FA45" s="166">
        <v>0</v>
      </c>
      <c r="FB45" s="166">
        <v>0</v>
      </c>
      <c r="FC45" s="166">
        <v>0</v>
      </c>
      <c r="FD45" s="166">
        <v>0</v>
      </c>
      <c r="FE45" s="166">
        <v>0</v>
      </c>
      <c r="FF45" s="166">
        <v>0</v>
      </c>
      <c r="FG45" s="166">
        <v>0</v>
      </c>
      <c r="FH45" s="166">
        <v>0</v>
      </c>
      <c r="FI45" s="166">
        <v>0</v>
      </c>
      <c r="FJ45" s="166">
        <v>0</v>
      </c>
      <c r="FK45" s="166">
        <v>0</v>
      </c>
      <c r="FL45" s="166">
        <v>0</v>
      </c>
      <c r="FM45" s="166">
        <v>0</v>
      </c>
      <c r="FN45" s="166">
        <v>0</v>
      </c>
      <c r="FO45" s="166">
        <v>0</v>
      </c>
      <c r="FP45" s="166">
        <v>0</v>
      </c>
      <c r="FQ45" s="166">
        <v>0</v>
      </c>
      <c r="FR45" s="166">
        <v>0</v>
      </c>
      <c r="FS45" s="166">
        <v>0</v>
      </c>
      <c r="FT45" s="166">
        <v>0</v>
      </c>
      <c r="FU45" s="166">
        <v>0</v>
      </c>
      <c r="FV45" s="166">
        <v>0</v>
      </c>
      <c r="FW45" s="166">
        <v>0</v>
      </c>
      <c r="FX45" s="166">
        <v>0</v>
      </c>
      <c r="FY45" s="166">
        <v>0</v>
      </c>
      <c r="FZ45" s="165">
        <v>0</v>
      </c>
      <c r="GA45" s="165">
        <v>0</v>
      </c>
      <c r="GB45" s="165">
        <v>0</v>
      </c>
      <c r="GC45" s="165">
        <v>0</v>
      </c>
      <c r="GD45" s="165">
        <v>0</v>
      </c>
      <c r="GE45" s="165">
        <v>0</v>
      </c>
      <c r="GF45" s="165">
        <v>0</v>
      </c>
      <c r="GG45" s="165">
        <v>0</v>
      </c>
      <c r="GH45" s="165">
        <v>0</v>
      </c>
      <c r="GI45" s="165">
        <v>0</v>
      </c>
      <c r="GJ45" s="165">
        <v>0</v>
      </c>
      <c r="GK45" s="165">
        <v>0</v>
      </c>
      <c r="GL45" s="165">
        <v>0</v>
      </c>
      <c r="GM45" s="165">
        <v>0</v>
      </c>
      <c r="GN45" s="165">
        <v>0</v>
      </c>
      <c r="GO45" s="165">
        <v>0</v>
      </c>
      <c r="GP45" s="165">
        <v>0</v>
      </c>
      <c r="GQ45" s="165">
        <v>0</v>
      </c>
      <c r="GR45" s="165">
        <v>0</v>
      </c>
      <c r="GS45" s="165">
        <v>0</v>
      </c>
      <c r="GT45" s="165">
        <v>0</v>
      </c>
      <c r="GU45" s="165">
        <v>0</v>
      </c>
      <c r="GV45" s="165">
        <v>0</v>
      </c>
      <c r="GW45" s="165">
        <v>0</v>
      </c>
      <c r="GX45" s="165">
        <v>0</v>
      </c>
      <c r="GY45" s="165">
        <v>0</v>
      </c>
      <c r="GZ45" s="165">
        <v>0</v>
      </c>
      <c r="HA45" s="165">
        <v>0</v>
      </c>
      <c r="HB45" s="166">
        <v>3</v>
      </c>
      <c r="HC45" s="166">
        <v>3</v>
      </c>
      <c r="HD45" s="166">
        <v>0</v>
      </c>
      <c r="HE45" s="166">
        <v>0</v>
      </c>
      <c r="HF45" s="166"/>
      <c r="HG45" s="166">
        <v>0</v>
      </c>
      <c r="HH45" s="166">
        <v>0</v>
      </c>
      <c r="HI45" s="166">
        <v>0</v>
      </c>
      <c r="HJ45" s="166">
        <v>0</v>
      </c>
      <c r="HK45" s="166">
        <v>0</v>
      </c>
      <c r="HL45" s="166">
        <v>0</v>
      </c>
      <c r="HM45" s="166">
        <v>0</v>
      </c>
      <c r="HN45" s="166">
        <v>0</v>
      </c>
      <c r="HO45" s="166">
        <v>0</v>
      </c>
      <c r="HP45" s="166">
        <v>0</v>
      </c>
      <c r="HQ45" s="166">
        <v>0</v>
      </c>
      <c r="HR45" s="166">
        <v>0</v>
      </c>
      <c r="HS45" s="166">
        <v>0</v>
      </c>
      <c r="HT45" s="166">
        <f>FY26_FE_Data_April15[[#This Row],[Oct 1, 2026 (CDC) - K]]+FY26_FE_Data_April15[[#This Row],[Oct 1, 2026 (CDC) - Grades 1-6]]+FY26_FE_Data_April15[[#This Row],[Oct 1, 2026 (CDC) - Grades 7-8]]</f>
        <v>0</v>
      </c>
      <c r="HU45" s="166">
        <v>0</v>
      </c>
      <c r="HW45" s="170"/>
      <c r="HY45" s="170"/>
    </row>
    <row r="46" spans="1:233" ht="39">
      <c r="A46" s="158">
        <v>71</v>
      </c>
      <c r="B46" s="159">
        <v>710</v>
      </c>
      <c r="C46" s="160" t="s">
        <v>370</v>
      </c>
      <c r="D46" s="160" t="s">
        <v>364</v>
      </c>
      <c r="E46" s="159" t="s">
        <v>784</v>
      </c>
      <c r="F46" s="159" t="s">
        <v>784</v>
      </c>
      <c r="G46" s="159"/>
      <c r="H46" s="161">
        <v>0</v>
      </c>
      <c r="I46" s="161">
        <v>0</v>
      </c>
      <c r="J46" s="161">
        <v>0</v>
      </c>
      <c r="K46" s="162">
        <v>0</v>
      </c>
      <c r="L46" s="162">
        <v>0</v>
      </c>
      <c r="M46" s="162">
        <v>0</v>
      </c>
      <c r="N46" s="162">
        <v>0</v>
      </c>
      <c r="O46" s="162">
        <v>0</v>
      </c>
      <c r="P46" s="162">
        <v>0</v>
      </c>
      <c r="Q46" s="162">
        <v>0</v>
      </c>
      <c r="R46" s="162">
        <v>0</v>
      </c>
      <c r="S46" s="160">
        <v>0</v>
      </c>
      <c r="T46" s="160">
        <v>0</v>
      </c>
      <c r="U46" s="160">
        <v>0</v>
      </c>
      <c r="V46" s="160">
        <v>0</v>
      </c>
      <c r="W46" s="160">
        <v>0</v>
      </c>
      <c r="X46" s="160">
        <v>0</v>
      </c>
      <c r="Y46" s="160">
        <v>0</v>
      </c>
      <c r="Z46" s="160">
        <v>0</v>
      </c>
      <c r="AA46" s="160">
        <v>0</v>
      </c>
      <c r="AB46" s="160">
        <v>0</v>
      </c>
      <c r="AC46" s="160">
        <v>0</v>
      </c>
      <c r="AD46" s="160">
        <v>0</v>
      </c>
      <c r="AE46" s="160">
        <v>0</v>
      </c>
      <c r="AF46" s="160">
        <v>0</v>
      </c>
      <c r="AG46" s="160">
        <v>0</v>
      </c>
      <c r="AH46" s="160">
        <v>0</v>
      </c>
      <c r="AI46" s="160">
        <v>0</v>
      </c>
      <c r="AJ46" s="160">
        <v>0</v>
      </c>
      <c r="AK46" s="160">
        <v>0</v>
      </c>
      <c r="AL46" s="161">
        <v>0</v>
      </c>
      <c r="AM46" s="161">
        <v>0</v>
      </c>
      <c r="AN46" s="161">
        <v>0</v>
      </c>
      <c r="AO46" s="161">
        <v>0</v>
      </c>
      <c r="AP46" s="162">
        <v>0</v>
      </c>
      <c r="AQ46" s="168">
        <v>0</v>
      </c>
      <c r="AR46" s="160">
        <v>0</v>
      </c>
      <c r="AS46" s="160">
        <v>0</v>
      </c>
      <c r="AT46" s="160">
        <v>0</v>
      </c>
      <c r="AU46" s="160">
        <v>0</v>
      </c>
      <c r="AV46" s="160">
        <v>0</v>
      </c>
      <c r="AW46" s="160">
        <v>0</v>
      </c>
      <c r="AX46" s="160">
        <v>0</v>
      </c>
      <c r="AY46" s="160">
        <v>0</v>
      </c>
      <c r="AZ46" s="160">
        <v>0</v>
      </c>
      <c r="BA46" s="160">
        <v>0</v>
      </c>
      <c r="BB46" s="160">
        <v>0</v>
      </c>
      <c r="BC46" s="160">
        <v>0</v>
      </c>
      <c r="BD46" s="160">
        <v>0</v>
      </c>
      <c r="BE46" s="160">
        <v>0</v>
      </c>
      <c r="BF46" s="160">
        <v>0</v>
      </c>
      <c r="BG46" s="160">
        <v>0</v>
      </c>
      <c r="BH46" s="160">
        <v>0</v>
      </c>
      <c r="BI46" s="160">
        <v>0</v>
      </c>
      <c r="BJ46" s="160">
        <v>0</v>
      </c>
      <c r="BK46" s="160">
        <v>0</v>
      </c>
      <c r="BL46" s="160">
        <v>0</v>
      </c>
      <c r="BM46" s="160">
        <v>0</v>
      </c>
      <c r="BN46" s="162">
        <v>0</v>
      </c>
      <c r="BO46" s="162">
        <v>0</v>
      </c>
      <c r="BP46" s="162">
        <v>0</v>
      </c>
      <c r="BQ46" s="163">
        <v>0</v>
      </c>
      <c r="BR46" s="164">
        <v>0</v>
      </c>
      <c r="BS46" s="164">
        <v>0</v>
      </c>
      <c r="BT46" s="164">
        <v>0</v>
      </c>
      <c r="BU46" s="164">
        <v>0</v>
      </c>
      <c r="BV46" s="165">
        <v>0</v>
      </c>
      <c r="BW46" s="165">
        <v>0</v>
      </c>
      <c r="BX46" s="166">
        <v>0</v>
      </c>
      <c r="BY46" s="166">
        <v>0</v>
      </c>
      <c r="BZ46" s="166">
        <v>0</v>
      </c>
      <c r="CA46" s="166">
        <v>0</v>
      </c>
      <c r="CB46" s="166">
        <v>0</v>
      </c>
      <c r="CC46" s="166">
        <v>0</v>
      </c>
      <c r="CD46" s="166">
        <v>0</v>
      </c>
      <c r="CE46" s="166">
        <v>0</v>
      </c>
      <c r="CF46" s="166">
        <v>0</v>
      </c>
      <c r="CG46" s="166">
        <v>0</v>
      </c>
      <c r="CH46" s="166">
        <v>0</v>
      </c>
      <c r="CI46" s="166">
        <v>0</v>
      </c>
      <c r="CJ46" s="166">
        <v>0</v>
      </c>
      <c r="CK46" s="166">
        <v>0</v>
      </c>
      <c r="CL46" s="166">
        <v>0</v>
      </c>
      <c r="CM46" s="166">
        <v>0</v>
      </c>
      <c r="CN46" s="166">
        <v>0</v>
      </c>
      <c r="CO46" s="166">
        <v>0</v>
      </c>
      <c r="CP46" s="166">
        <v>0</v>
      </c>
      <c r="CQ46" s="166">
        <v>0</v>
      </c>
      <c r="CR46" s="166">
        <v>0</v>
      </c>
      <c r="CS46" s="166">
        <v>0</v>
      </c>
      <c r="CT46" s="166">
        <v>0</v>
      </c>
      <c r="CU46" s="166">
        <v>0</v>
      </c>
      <c r="CV46" s="166">
        <v>0</v>
      </c>
      <c r="CW46" s="166">
        <v>0</v>
      </c>
      <c r="CX46" s="166">
        <v>0</v>
      </c>
      <c r="CY46" s="166">
        <v>0</v>
      </c>
      <c r="CZ46" s="165">
        <v>0</v>
      </c>
      <c r="DA46" s="165">
        <v>0</v>
      </c>
      <c r="DB46" s="165">
        <v>0</v>
      </c>
      <c r="DC46" s="165">
        <v>0</v>
      </c>
      <c r="DD46" s="165">
        <v>0</v>
      </c>
      <c r="DE46" s="165">
        <v>0</v>
      </c>
      <c r="DF46" s="165">
        <v>0</v>
      </c>
      <c r="DG46" s="165">
        <v>0</v>
      </c>
      <c r="DH46" s="165">
        <v>0</v>
      </c>
      <c r="DI46" s="165">
        <v>0</v>
      </c>
      <c r="DJ46" s="165">
        <v>0</v>
      </c>
      <c r="DK46" s="165">
        <v>0</v>
      </c>
      <c r="DL46" s="165">
        <v>0</v>
      </c>
      <c r="DM46" s="165">
        <v>0</v>
      </c>
      <c r="DN46" s="165">
        <v>0</v>
      </c>
      <c r="DO46" s="165">
        <v>0</v>
      </c>
      <c r="DP46" s="165">
        <v>0</v>
      </c>
      <c r="DQ46" s="165">
        <v>0</v>
      </c>
      <c r="DR46" s="165">
        <v>0</v>
      </c>
      <c r="DS46" s="165">
        <v>0</v>
      </c>
      <c r="DT46" s="165">
        <v>0</v>
      </c>
      <c r="DU46" s="165">
        <v>0</v>
      </c>
      <c r="DV46" s="165">
        <v>0</v>
      </c>
      <c r="DW46" s="165">
        <v>0</v>
      </c>
      <c r="DX46" s="165">
        <v>0</v>
      </c>
      <c r="DY46" s="165">
        <v>0</v>
      </c>
      <c r="DZ46" s="165">
        <v>0</v>
      </c>
      <c r="EA46" s="166">
        <v>6</v>
      </c>
      <c r="EB46" s="166">
        <v>6</v>
      </c>
      <c r="EC46" s="166">
        <v>0</v>
      </c>
      <c r="ED46" s="166">
        <v>0</v>
      </c>
      <c r="EE46" s="166">
        <v>0</v>
      </c>
      <c r="EF46" s="166">
        <v>0</v>
      </c>
      <c r="EG46" s="167">
        <v>0</v>
      </c>
      <c r="EH46" s="165"/>
      <c r="EI46" s="165">
        <v>0</v>
      </c>
      <c r="EJ46" s="165">
        <v>0</v>
      </c>
      <c r="EK46" s="165">
        <v>0</v>
      </c>
      <c r="EL46" s="165">
        <v>0</v>
      </c>
      <c r="EM46" s="165">
        <v>0</v>
      </c>
      <c r="EN46" s="165">
        <v>0</v>
      </c>
      <c r="EO46" s="165">
        <v>0</v>
      </c>
      <c r="EP46" s="165">
        <v>0</v>
      </c>
      <c r="EQ46" s="165">
        <v>0</v>
      </c>
      <c r="ER46" s="165">
        <v>0</v>
      </c>
      <c r="ES46" s="165">
        <v>0</v>
      </c>
      <c r="ET46" s="165">
        <v>0</v>
      </c>
      <c r="EU46" s="166">
        <v>0</v>
      </c>
      <c r="EV46" s="166">
        <v>0</v>
      </c>
      <c r="EW46" s="166">
        <v>0</v>
      </c>
      <c r="EX46" s="166">
        <v>0</v>
      </c>
      <c r="EY46" s="166">
        <v>0</v>
      </c>
      <c r="EZ46" s="166">
        <v>0</v>
      </c>
      <c r="FA46" s="166">
        <v>0</v>
      </c>
      <c r="FB46" s="166">
        <v>0</v>
      </c>
      <c r="FC46" s="166">
        <v>0</v>
      </c>
      <c r="FD46" s="166">
        <v>0</v>
      </c>
      <c r="FE46" s="166">
        <v>0</v>
      </c>
      <c r="FF46" s="166">
        <v>0</v>
      </c>
      <c r="FG46" s="166">
        <v>0</v>
      </c>
      <c r="FH46" s="166">
        <v>0</v>
      </c>
      <c r="FI46" s="166">
        <v>0</v>
      </c>
      <c r="FJ46" s="166">
        <v>0</v>
      </c>
      <c r="FK46" s="166">
        <v>0</v>
      </c>
      <c r="FL46" s="166">
        <v>0</v>
      </c>
      <c r="FM46" s="166">
        <v>0</v>
      </c>
      <c r="FN46" s="166">
        <v>0</v>
      </c>
      <c r="FO46" s="166">
        <v>0</v>
      </c>
      <c r="FP46" s="166">
        <v>0</v>
      </c>
      <c r="FQ46" s="166">
        <v>0</v>
      </c>
      <c r="FR46" s="166">
        <v>0</v>
      </c>
      <c r="FS46" s="166">
        <v>0</v>
      </c>
      <c r="FT46" s="166">
        <v>0</v>
      </c>
      <c r="FU46" s="166">
        <v>0</v>
      </c>
      <c r="FV46" s="166">
        <v>0</v>
      </c>
      <c r="FW46" s="166">
        <v>0</v>
      </c>
      <c r="FX46" s="166">
        <v>0</v>
      </c>
      <c r="FY46" s="166">
        <v>0</v>
      </c>
      <c r="FZ46" s="165">
        <v>0</v>
      </c>
      <c r="GA46" s="165">
        <v>0</v>
      </c>
      <c r="GB46" s="165">
        <v>0</v>
      </c>
      <c r="GC46" s="165">
        <v>0</v>
      </c>
      <c r="GD46" s="165">
        <v>0</v>
      </c>
      <c r="GE46" s="165">
        <v>0</v>
      </c>
      <c r="GF46" s="165">
        <v>0</v>
      </c>
      <c r="GG46" s="165">
        <v>0</v>
      </c>
      <c r="GH46" s="165">
        <v>0</v>
      </c>
      <c r="GI46" s="165">
        <v>0</v>
      </c>
      <c r="GJ46" s="165">
        <v>0</v>
      </c>
      <c r="GK46" s="165">
        <v>0</v>
      </c>
      <c r="GL46" s="165">
        <v>0</v>
      </c>
      <c r="GM46" s="165">
        <v>0</v>
      </c>
      <c r="GN46" s="165">
        <v>0</v>
      </c>
      <c r="GO46" s="165">
        <v>0</v>
      </c>
      <c r="GP46" s="165">
        <v>0</v>
      </c>
      <c r="GQ46" s="165">
        <v>0</v>
      </c>
      <c r="GR46" s="165">
        <v>0</v>
      </c>
      <c r="GS46" s="165">
        <v>0</v>
      </c>
      <c r="GT46" s="165">
        <v>0</v>
      </c>
      <c r="GU46" s="165">
        <v>0</v>
      </c>
      <c r="GV46" s="165">
        <v>0</v>
      </c>
      <c r="GW46" s="165">
        <v>0</v>
      </c>
      <c r="GX46" s="165">
        <v>0</v>
      </c>
      <c r="GY46" s="165">
        <v>0</v>
      </c>
      <c r="GZ46" s="165">
        <v>0</v>
      </c>
      <c r="HA46" s="165">
        <v>0</v>
      </c>
      <c r="HB46" s="166">
        <v>8</v>
      </c>
      <c r="HC46" s="166">
        <v>8</v>
      </c>
      <c r="HD46" s="166">
        <v>0</v>
      </c>
      <c r="HE46" s="166">
        <v>0</v>
      </c>
      <c r="HF46" s="166"/>
      <c r="HG46" s="166">
        <v>0</v>
      </c>
      <c r="HH46" s="166">
        <v>0</v>
      </c>
      <c r="HI46" s="166">
        <v>0</v>
      </c>
      <c r="HJ46" s="166">
        <v>0</v>
      </c>
      <c r="HK46" s="166">
        <v>0</v>
      </c>
      <c r="HL46" s="166">
        <v>0</v>
      </c>
      <c r="HM46" s="166">
        <v>0</v>
      </c>
      <c r="HN46" s="166">
        <v>0</v>
      </c>
      <c r="HO46" s="166">
        <v>0</v>
      </c>
      <c r="HP46" s="166">
        <v>0</v>
      </c>
      <c r="HQ46" s="166">
        <v>0</v>
      </c>
      <c r="HR46" s="166">
        <v>0</v>
      </c>
      <c r="HS46" s="166">
        <v>0</v>
      </c>
      <c r="HT46" s="166">
        <f>FY26_FE_Data_April15[[#This Row],[Oct 1, 2026 (CDC) - K]]+FY26_FE_Data_April15[[#This Row],[Oct 1, 2026 (CDC) - Grades 1-6]]+FY26_FE_Data_April15[[#This Row],[Oct 1, 2026 (CDC) - Grades 7-8]]</f>
        <v>0</v>
      </c>
      <c r="HU46" s="166">
        <v>0</v>
      </c>
      <c r="HW46" s="170"/>
      <c r="HY46" s="170"/>
    </row>
    <row r="47" spans="1:233" ht="39">
      <c r="A47" s="158">
        <v>72</v>
      </c>
      <c r="B47" s="159">
        <v>720</v>
      </c>
      <c r="C47" s="160" t="s">
        <v>371</v>
      </c>
      <c r="D47" s="160" t="s">
        <v>364</v>
      </c>
      <c r="E47" s="159" t="s">
        <v>784</v>
      </c>
      <c r="F47" s="159" t="s">
        <v>784</v>
      </c>
      <c r="G47" s="159"/>
      <c r="H47" s="161">
        <v>0</v>
      </c>
      <c r="I47" s="161">
        <v>0</v>
      </c>
      <c r="J47" s="161">
        <v>0</v>
      </c>
      <c r="K47" s="162">
        <v>0</v>
      </c>
      <c r="L47" s="162">
        <v>0</v>
      </c>
      <c r="M47" s="162">
        <v>0</v>
      </c>
      <c r="N47" s="162">
        <v>0</v>
      </c>
      <c r="O47" s="162">
        <v>0</v>
      </c>
      <c r="P47" s="162">
        <v>0</v>
      </c>
      <c r="Q47" s="162">
        <v>0</v>
      </c>
      <c r="R47" s="162">
        <v>0</v>
      </c>
      <c r="S47" s="160">
        <v>0</v>
      </c>
      <c r="T47" s="160">
        <v>0</v>
      </c>
      <c r="U47" s="160">
        <v>0</v>
      </c>
      <c r="V47" s="160">
        <v>0</v>
      </c>
      <c r="W47" s="160">
        <v>0</v>
      </c>
      <c r="X47" s="160">
        <v>0</v>
      </c>
      <c r="Y47" s="160">
        <v>0</v>
      </c>
      <c r="Z47" s="160">
        <v>0</v>
      </c>
      <c r="AA47" s="160">
        <v>0</v>
      </c>
      <c r="AB47" s="160">
        <v>0</v>
      </c>
      <c r="AC47" s="160">
        <v>0</v>
      </c>
      <c r="AD47" s="160">
        <v>0</v>
      </c>
      <c r="AE47" s="160">
        <v>0</v>
      </c>
      <c r="AF47" s="160">
        <v>0</v>
      </c>
      <c r="AG47" s="160">
        <v>0</v>
      </c>
      <c r="AH47" s="160">
        <v>0</v>
      </c>
      <c r="AI47" s="160">
        <v>0</v>
      </c>
      <c r="AJ47" s="160">
        <v>0</v>
      </c>
      <c r="AK47" s="160">
        <v>0</v>
      </c>
      <c r="AL47" s="161">
        <v>0</v>
      </c>
      <c r="AM47" s="161">
        <v>0</v>
      </c>
      <c r="AN47" s="161">
        <v>0</v>
      </c>
      <c r="AO47" s="161">
        <v>0</v>
      </c>
      <c r="AP47" s="162">
        <v>0</v>
      </c>
      <c r="AQ47" s="168">
        <v>0</v>
      </c>
      <c r="AR47" s="160">
        <v>0</v>
      </c>
      <c r="AS47" s="160">
        <v>0</v>
      </c>
      <c r="AT47" s="160">
        <v>0</v>
      </c>
      <c r="AU47" s="160">
        <v>0</v>
      </c>
      <c r="AV47" s="160">
        <v>0</v>
      </c>
      <c r="AW47" s="160">
        <v>0</v>
      </c>
      <c r="AX47" s="160">
        <v>0</v>
      </c>
      <c r="AY47" s="160">
        <v>0</v>
      </c>
      <c r="AZ47" s="160">
        <v>0</v>
      </c>
      <c r="BA47" s="160">
        <v>0</v>
      </c>
      <c r="BB47" s="160">
        <v>0</v>
      </c>
      <c r="BC47" s="160">
        <v>0</v>
      </c>
      <c r="BD47" s="160">
        <v>0</v>
      </c>
      <c r="BE47" s="160">
        <v>0</v>
      </c>
      <c r="BF47" s="160">
        <v>0</v>
      </c>
      <c r="BG47" s="160">
        <v>0</v>
      </c>
      <c r="BH47" s="160">
        <v>0</v>
      </c>
      <c r="BI47" s="160">
        <v>0</v>
      </c>
      <c r="BJ47" s="160">
        <v>0</v>
      </c>
      <c r="BK47" s="160">
        <v>0</v>
      </c>
      <c r="BL47" s="160">
        <v>0</v>
      </c>
      <c r="BM47" s="160">
        <v>0</v>
      </c>
      <c r="BN47" s="162">
        <v>0</v>
      </c>
      <c r="BO47" s="162">
        <v>0</v>
      </c>
      <c r="BP47" s="162">
        <v>0</v>
      </c>
      <c r="BQ47" s="163">
        <v>0</v>
      </c>
      <c r="BR47" s="164">
        <v>0</v>
      </c>
      <c r="BS47" s="164">
        <v>0</v>
      </c>
      <c r="BT47" s="164">
        <v>0</v>
      </c>
      <c r="BU47" s="164">
        <v>0</v>
      </c>
      <c r="BV47" s="165">
        <v>0</v>
      </c>
      <c r="BW47" s="165">
        <v>0</v>
      </c>
      <c r="BX47" s="166">
        <v>0</v>
      </c>
      <c r="BY47" s="166">
        <v>0</v>
      </c>
      <c r="BZ47" s="166">
        <v>0</v>
      </c>
      <c r="CA47" s="166">
        <v>0</v>
      </c>
      <c r="CB47" s="166">
        <v>0</v>
      </c>
      <c r="CC47" s="166">
        <v>0</v>
      </c>
      <c r="CD47" s="166">
        <v>0</v>
      </c>
      <c r="CE47" s="166">
        <v>0</v>
      </c>
      <c r="CF47" s="166">
        <v>0</v>
      </c>
      <c r="CG47" s="166">
        <v>0</v>
      </c>
      <c r="CH47" s="166">
        <v>0</v>
      </c>
      <c r="CI47" s="166">
        <v>0</v>
      </c>
      <c r="CJ47" s="166">
        <v>0</v>
      </c>
      <c r="CK47" s="166">
        <v>0</v>
      </c>
      <c r="CL47" s="166">
        <v>0</v>
      </c>
      <c r="CM47" s="166">
        <v>0</v>
      </c>
      <c r="CN47" s="166">
        <v>0</v>
      </c>
      <c r="CO47" s="166">
        <v>0</v>
      </c>
      <c r="CP47" s="166">
        <v>0</v>
      </c>
      <c r="CQ47" s="166">
        <v>0</v>
      </c>
      <c r="CR47" s="166">
        <v>0</v>
      </c>
      <c r="CS47" s="166">
        <v>0</v>
      </c>
      <c r="CT47" s="166">
        <v>0</v>
      </c>
      <c r="CU47" s="166">
        <v>0</v>
      </c>
      <c r="CV47" s="166">
        <v>0</v>
      </c>
      <c r="CW47" s="166">
        <v>0</v>
      </c>
      <c r="CX47" s="166">
        <v>0</v>
      </c>
      <c r="CY47" s="166">
        <v>0</v>
      </c>
      <c r="CZ47" s="165">
        <v>0</v>
      </c>
      <c r="DA47" s="165">
        <v>0</v>
      </c>
      <c r="DB47" s="165">
        <v>0</v>
      </c>
      <c r="DC47" s="165">
        <v>0</v>
      </c>
      <c r="DD47" s="165">
        <v>0</v>
      </c>
      <c r="DE47" s="165">
        <v>0</v>
      </c>
      <c r="DF47" s="165">
        <v>0</v>
      </c>
      <c r="DG47" s="165">
        <v>0</v>
      </c>
      <c r="DH47" s="165">
        <v>0</v>
      </c>
      <c r="DI47" s="165">
        <v>0</v>
      </c>
      <c r="DJ47" s="165">
        <v>0</v>
      </c>
      <c r="DK47" s="165">
        <v>0</v>
      </c>
      <c r="DL47" s="165">
        <v>0</v>
      </c>
      <c r="DM47" s="165">
        <v>0</v>
      </c>
      <c r="DN47" s="165">
        <v>0</v>
      </c>
      <c r="DO47" s="165">
        <v>0</v>
      </c>
      <c r="DP47" s="165">
        <v>0</v>
      </c>
      <c r="DQ47" s="165">
        <v>0</v>
      </c>
      <c r="DR47" s="165">
        <v>0</v>
      </c>
      <c r="DS47" s="165">
        <v>0</v>
      </c>
      <c r="DT47" s="165">
        <v>0</v>
      </c>
      <c r="DU47" s="165">
        <v>0</v>
      </c>
      <c r="DV47" s="165">
        <v>0</v>
      </c>
      <c r="DW47" s="165">
        <v>0</v>
      </c>
      <c r="DX47" s="165">
        <v>0</v>
      </c>
      <c r="DY47" s="165">
        <v>0</v>
      </c>
      <c r="DZ47" s="165">
        <v>0</v>
      </c>
      <c r="EA47" s="166">
        <v>3</v>
      </c>
      <c r="EB47" s="166">
        <v>3</v>
      </c>
      <c r="EC47" s="166">
        <v>0</v>
      </c>
      <c r="ED47" s="166">
        <v>0</v>
      </c>
      <c r="EE47" s="166">
        <v>0</v>
      </c>
      <c r="EF47" s="166">
        <v>0</v>
      </c>
      <c r="EG47" s="167">
        <v>0</v>
      </c>
      <c r="EH47" s="165"/>
      <c r="EI47" s="165">
        <v>0</v>
      </c>
      <c r="EJ47" s="165">
        <v>0</v>
      </c>
      <c r="EK47" s="165">
        <v>0</v>
      </c>
      <c r="EL47" s="165">
        <v>0</v>
      </c>
      <c r="EM47" s="165">
        <v>0</v>
      </c>
      <c r="EN47" s="165">
        <v>0</v>
      </c>
      <c r="EO47" s="165">
        <v>0</v>
      </c>
      <c r="EP47" s="165">
        <v>0</v>
      </c>
      <c r="EQ47" s="165">
        <v>0</v>
      </c>
      <c r="ER47" s="165">
        <v>0</v>
      </c>
      <c r="ES47" s="165">
        <v>0</v>
      </c>
      <c r="ET47" s="165">
        <v>0</v>
      </c>
      <c r="EU47" s="166">
        <v>0</v>
      </c>
      <c r="EV47" s="166">
        <v>0</v>
      </c>
      <c r="EW47" s="166">
        <v>0</v>
      </c>
      <c r="EX47" s="166">
        <v>0</v>
      </c>
      <c r="EY47" s="166">
        <v>0</v>
      </c>
      <c r="EZ47" s="166">
        <v>0</v>
      </c>
      <c r="FA47" s="166">
        <v>0</v>
      </c>
      <c r="FB47" s="166">
        <v>0</v>
      </c>
      <c r="FC47" s="166">
        <v>0</v>
      </c>
      <c r="FD47" s="166">
        <v>0</v>
      </c>
      <c r="FE47" s="166">
        <v>0</v>
      </c>
      <c r="FF47" s="166">
        <v>0</v>
      </c>
      <c r="FG47" s="166">
        <v>0</v>
      </c>
      <c r="FH47" s="166">
        <v>0</v>
      </c>
      <c r="FI47" s="166">
        <v>0</v>
      </c>
      <c r="FJ47" s="166">
        <v>0</v>
      </c>
      <c r="FK47" s="166">
        <v>0</v>
      </c>
      <c r="FL47" s="166">
        <v>0</v>
      </c>
      <c r="FM47" s="166">
        <v>0</v>
      </c>
      <c r="FN47" s="166">
        <v>0</v>
      </c>
      <c r="FO47" s="166">
        <v>0</v>
      </c>
      <c r="FP47" s="166">
        <v>0</v>
      </c>
      <c r="FQ47" s="166">
        <v>0</v>
      </c>
      <c r="FR47" s="166">
        <v>0</v>
      </c>
      <c r="FS47" s="166">
        <v>0</v>
      </c>
      <c r="FT47" s="166">
        <v>0</v>
      </c>
      <c r="FU47" s="166">
        <v>0</v>
      </c>
      <c r="FV47" s="166">
        <v>0</v>
      </c>
      <c r="FW47" s="166">
        <v>0</v>
      </c>
      <c r="FX47" s="166">
        <v>0</v>
      </c>
      <c r="FY47" s="166">
        <v>0</v>
      </c>
      <c r="FZ47" s="165">
        <v>0</v>
      </c>
      <c r="GA47" s="165">
        <v>0</v>
      </c>
      <c r="GB47" s="165">
        <v>0</v>
      </c>
      <c r="GC47" s="165">
        <v>0</v>
      </c>
      <c r="GD47" s="165">
        <v>0</v>
      </c>
      <c r="GE47" s="165">
        <v>0</v>
      </c>
      <c r="GF47" s="165">
        <v>0</v>
      </c>
      <c r="GG47" s="165">
        <v>0</v>
      </c>
      <c r="GH47" s="165">
        <v>0</v>
      </c>
      <c r="GI47" s="165">
        <v>0</v>
      </c>
      <c r="GJ47" s="165">
        <v>0</v>
      </c>
      <c r="GK47" s="165">
        <v>0</v>
      </c>
      <c r="GL47" s="165">
        <v>0</v>
      </c>
      <c r="GM47" s="165">
        <v>0</v>
      </c>
      <c r="GN47" s="165">
        <v>0</v>
      </c>
      <c r="GO47" s="165">
        <v>0</v>
      </c>
      <c r="GP47" s="165">
        <v>0</v>
      </c>
      <c r="GQ47" s="165">
        <v>0</v>
      </c>
      <c r="GR47" s="165">
        <v>0</v>
      </c>
      <c r="GS47" s="165">
        <v>0</v>
      </c>
      <c r="GT47" s="165">
        <v>0</v>
      </c>
      <c r="GU47" s="165">
        <v>0</v>
      </c>
      <c r="GV47" s="165">
        <v>0</v>
      </c>
      <c r="GW47" s="165">
        <v>0</v>
      </c>
      <c r="GX47" s="165">
        <v>0</v>
      </c>
      <c r="GY47" s="165">
        <v>0</v>
      </c>
      <c r="GZ47" s="165">
        <v>0</v>
      </c>
      <c r="HA47" s="165">
        <v>0</v>
      </c>
      <c r="HB47" s="166">
        <v>4</v>
      </c>
      <c r="HC47" s="166">
        <v>4</v>
      </c>
      <c r="HD47" s="166">
        <v>0</v>
      </c>
      <c r="HE47" s="166">
        <v>0</v>
      </c>
      <c r="HF47" s="166"/>
      <c r="HG47" s="166">
        <v>0</v>
      </c>
      <c r="HH47" s="166">
        <v>0</v>
      </c>
      <c r="HI47" s="166">
        <v>0</v>
      </c>
      <c r="HJ47" s="166">
        <v>0</v>
      </c>
      <c r="HK47" s="166">
        <v>0</v>
      </c>
      <c r="HL47" s="166">
        <v>0</v>
      </c>
      <c r="HM47" s="166">
        <v>0</v>
      </c>
      <c r="HN47" s="166">
        <v>0</v>
      </c>
      <c r="HO47" s="166">
        <v>0</v>
      </c>
      <c r="HP47" s="166">
        <v>0</v>
      </c>
      <c r="HQ47" s="166">
        <v>0</v>
      </c>
      <c r="HR47" s="166">
        <v>0</v>
      </c>
      <c r="HS47" s="166">
        <v>0</v>
      </c>
      <c r="HT47" s="166">
        <f>FY26_FE_Data_April15[[#This Row],[Oct 1, 2026 (CDC) - K]]+FY26_FE_Data_April15[[#This Row],[Oct 1, 2026 (CDC) - Grades 1-6]]+FY26_FE_Data_April15[[#This Row],[Oct 1, 2026 (CDC) - Grades 7-8]]</f>
        <v>0</v>
      </c>
      <c r="HU47" s="166">
        <v>0</v>
      </c>
      <c r="HW47" s="170"/>
      <c r="HY47" s="170"/>
    </row>
    <row r="48" spans="1:233" ht="26">
      <c r="A48" s="158">
        <v>73</v>
      </c>
      <c r="B48" s="159">
        <v>730</v>
      </c>
      <c r="C48" s="160" t="s">
        <v>372</v>
      </c>
      <c r="D48" s="160" t="s">
        <v>364</v>
      </c>
      <c r="E48" s="159" t="s">
        <v>784</v>
      </c>
      <c r="F48" s="159" t="s">
        <v>784</v>
      </c>
      <c r="G48" s="159"/>
      <c r="H48" s="161">
        <v>0</v>
      </c>
      <c r="I48" s="161">
        <v>0</v>
      </c>
      <c r="J48" s="161">
        <v>0</v>
      </c>
      <c r="K48" s="162">
        <v>0</v>
      </c>
      <c r="L48" s="162">
        <v>0</v>
      </c>
      <c r="M48" s="162">
        <v>0</v>
      </c>
      <c r="N48" s="162">
        <v>0</v>
      </c>
      <c r="O48" s="162">
        <v>0</v>
      </c>
      <c r="P48" s="162">
        <v>0</v>
      </c>
      <c r="Q48" s="162">
        <v>0</v>
      </c>
      <c r="R48" s="162">
        <v>0</v>
      </c>
      <c r="S48" s="160">
        <v>0</v>
      </c>
      <c r="T48" s="160">
        <v>0</v>
      </c>
      <c r="U48" s="160">
        <v>0</v>
      </c>
      <c r="V48" s="160">
        <v>0</v>
      </c>
      <c r="W48" s="160">
        <v>0</v>
      </c>
      <c r="X48" s="160">
        <v>0</v>
      </c>
      <c r="Y48" s="160">
        <v>0</v>
      </c>
      <c r="Z48" s="160">
        <v>0</v>
      </c>
      <c r="AA48" s="160">
        <v>0</v>
      </c>
      <c r="AB48" s="160">
        <v>0</v>
      </c>
      <c r="AC48" s="160">
        <v>0</v>
      </c>
      <c r="AD48" s="160">
        <v>0</v>
      </c>
      <c r="AE48" s="160">
        <v>0</v>
      </c>
      <c r="AF48" s="160">
        <v>0</v>
      </c>
      <c r="AG48" s="160">
        <v>0</v>
      </c>
      <c r="AH48" s="160">
        <v>0</v>
      </c>
      <c r="AI48" s="160">
        <v>0</v>
      </c>
      <c r="AJ48" s="160">
        <v>0</v>
      </c>
      <c r="AK48" s="160">
        <v>0</v>
      </c>
      <c r="AL48" s="161">
        <v>0</v>
      </c>
      <c r="AM48" s="161">
        <v>0</v>
      </c>
      <c r="AN48" s="161">
        <v>0</v>
      </c>
      <c r="AO48" s="161">
        <v>0</v>
      </c>
      <c r="AP48" s="162">
        <v>0</v>
      </c>
      <c r="AQ48" s="168">
        <v>0</v>
      </c>
      <c r="AR48" s="160">
        <v>0</v>
      </c>
      <c r="AS48" s="160">
        <v>0</v>
      </c>
      <c r="AT48" s="160">
        <v>0</v>
      </c>
      <c r="AU48" s="160">
        <v>0</v>
      </c>
      <c r="AV48" s="160">
        <v>0</v>
      </c>
      <c r="AW48" s="160">
        <v>0</v>
      </c>
      <c r="AX48" s="160">
        <v>0</v>
      </c>
      <c r="AY48" s="160">
        <v>0</v>
      </c>
      <c r="AZ48" s="160">
        <v>0</v>
      </c>
      <c r="BA48" s="160">
        <v>0</v>
      </c>
      <c r="BB48" s="160">
        <v>0</v>
      </c>
      <c r="BC48" s="160">
        <v>0</v>
      </c>
      <c r="BD48" s="160">
        <v>0</v>
      </c>
      <c r="BE48" s="160">
        <v>0</v>
      </c>
      <c r="BF48" s="160">
        <v>0</v>
      </c>
      <c r="BG48" s="160">
        <v>0</v>
      </c>
      <c r="BH48" s="160">
        <v>0</v>
      </c>
      <c r="BI48" s="160">
        <v>0</v>
      </c>
      <c r="BJ48" s="160">
        <v>0</v>
      </c>
      <c r="BK48" s="160">
        <v>0</v>
      </c>
      <c r="BL48" s="160">
        <v>0</v>
      </c>
      <c r="BM48" s="160">
        <v>0</v>
      </c>
      <c r="BN48" s="162">
        <v>0</v>
      </c>
      <c r="BO48" s="162">
        <v>0</v>
      </c>
      <c r="BP48" s="162">
        <v>0</v>
      </c>
      <c r="BQ48" s="163">
        <v>0</v>
      </c>
      <c r="BR48" s="164">
        <v>0</v>
      </c>
      <c r="BS48" s="164">
        <v>0</v>
      </c>
      <c r="BT48" s="164">
        <v>0</v>
      </c>
      <c r="BU48" s="164">
        <v>0</v>
      </c>
      <c r="BV48" s="165">
        <v>0</v>
      </c>
      <c r="BW48" s="165">
        <v>0</v>
      </c>
      <c r="BX48" s="166">
        <v>0</v>
      </c>
      <c r="BY48" s="166">
        <v>0</v>
      </c>
      <c r="BZ48" s="166">
        <v>0</v>
      </c>
      <c r="CA48" s="166">
        <v>0</v>
      </c>
      <c r="CB48" s="166">
        <v>0</v>
      </c>
      <c r="CC48" s="166">
        <v>0</v>
      </c>
      <c r="CD48" s="166">
        <v>0</v>
      </c>
      <c r="CE48" s="166">
        <v>0</v>
      </c>
      <c r="CF48" s="166">
        <v>0</v>
      </c>
      <c r="CG48" s="166">
        <v>0</v>
      </c>
      <c r="CH48" s="166">
        <v>0</v>
      </c>
      <c r="CI48" s="166">
        <v>0</v>
      </c>
      <c r="CJ48" s="166">
        <v>0</v>
      </c>
      <c r="CK48" s="166">
        <v>0</v>
      </c>
      <c r="CL48" s="166">
        <v>0</v>
      </c>
      <c r="CM48" s="166">
        <v>0</v>
      </c>
      <c r="CN48" s="166">
        <v>0</v>
      </c>
      <c r="CO48" s="166">
        <v>0</v>
      </c>
      <c r="CP48" s="166">
        <v>0</v>
      </c>
      <c r="CQ48" s="166">
        <v>0</v>
      </c>
      <c r="CR48" s="166">
        <v>0</v>
      </c>
      <c r="CS48" s="166">
        <v>0</v>
      </c>
      <c r="CT48" s="166">
        <v>0</v>
      </c>
      <c r="CU48" s="166">
        <v>0</v>
      </c>
      <c r="CV48" s="166">
        <v>0</v>
      </c>
      <c r="CW48" s="166">
        <v>0</v>
      </c>
      <c r="CX48" s="166">
        <v>0</v>
      </c>
      <c r="CY48" s="166">
        <v>0</v>
      </c>
      <c r="CZ48" s="165">
        <v>0</v>
      </c>
      <c r="DA48" s="165">
        <v>0</v>
      </c>
      <c r="DB48" s="165">
        <v>0</v>
      </c>
      <c r="DC48" s="165">
        <v>0</v>
      </c>
      <c r="DD48" s="165">
        <v>0</v>
      </c>
      <c r="DE48" s="165">
        <v>0</v>
      </c>
      <c r="DF48" s="165">
        <v>0</v>
      </c>
      <c r="DG48" s="165">
        <v>0</v>
      </c>
      <c r="DH48" s="165">
        <v>0</v>
      </c>
      <c r="DI48" s="165">
        <v>0</v>
      </c>
      <c r="DJ48" s="165">
        <v>0</v>
      </c>
      <c r="DK48" s="165">
        <v>0</v>
      </c>
      <c r="DL48" s="165">
        <v>0</v>
      </c>
      <c r="DM48" s="165">
        <v>0</v>
      </c>
      <c r="DN48" s="165">
        <v>0</v>
      </c>
      <c r="DO48" s="165">
        <v>0</v>
      </c>
      <c r="DP48" s="165">
        <v>0</v>
      </c>
      <c r="DQ48" s="165">
        <v>0</v>
      </c>
      <c r="DR48" s="165">
        <v>0</v>
      </c>
      <c r="DS48" s="165">
        <v>0</v>
      </c>
      <c r="DT48" s="165">
        <v>0</v>
      </c>
      <c r="DU48" s="165">
        <v>0</v>
      </c>
      <c r="DV48" s="165">
        <v>0</v>
      </c>
      <c r="DW48" s="165">
        <v>0</v>
      </c>
      <c r="DX48" s="165">
        <v>0</v>
      </c>
      <c r="DY48" s="165">
        <v>0</v>
      </c>
      <c r="DZ48" s="165">
        <v>0</v>
      </c>
      <c r="EA48" s="166">
        <v>2</v>
      </c>
      <c r="EB48" s="166">
        <v>2</v>
      </c>
      <c r="EC48" s="166">
        <v>0</v>
      </c>
      <c r="ED48" s="166">
        <v>0</v>
      </c>
      <c r="EE48" s="166">
        <v>0</v>
      </c>
      <c r="EF48" s="166">
        <v>0</v>
      </c>
      <c r="EG48" s="167">
        <v>0</v>
      </c>
      <c r="EH48" s="165"/>
      <c r="EI48" s="165">
        <v>0</v>
      </c>
      <c r="EJ48" s="165">
        <v>0</v>
      </c>
      <c r="EK48" s="165">
        <v>0</v>
      </c>
      <c r="EL48" s="165">
        <v>0</v>
      </c>
      <c r="EM48" s="165">
        <v>0</v>
      </c>
      <c r="EN48" s="165">
        <v>0</v>
      </c>
      <c r="EO48" s="165">
        <v>0</v>
      </c>
      <c r="EP48" s="165">
        <v>0</v>
      </c>
      <c r="EQ48" s="165">
        <v>0</v>
      </c>
      <c r="ER48" s="165">
        <v>0</v>
      </c>
      <c r="ES48" s="165">
        <v>0</v>
      </c>
      <c r="ET48" s="165">
        <v>0</v>
      </c>
      <c r="EU48" s="166">
        <v>0</v>
      </c>
      <c r="EV48" s="166">
        <v>0</v>
      </c>
      <c r="EW48" s="166">
        <v>0</v>
      </c>
      <c r="EX48" s="166">
        <v>0</v>
      </c>
      <c r="EY48" s="166">
        <v>0</v>
      </c>
      <c r="EZ48" s="166">
        <v>0</v>
      </c>
      <c r="FA48" s="166">
        <v>0</v>
      </c>
      <c r="FB48" s="166">
        <v>0</v>
      </c>
      <c r="FC48" s="166">
        <v>0</v>
      </c>
      <c r="FD48" s="166">
        <v>0</v>
      </c>
      <c r="FE48" s="166">
        <v>0</v>
      </c>
      <c r="FF48" s="166">
        <v>0</v>
      </c>
      <c r="FG48" s="166">
        <v>0</v>
      </c>
      <c r="FH48" s="166">
        <v>0</v>
      </c>
      <c r="FI48" s="166">
        <v>0</v>
      </c>
      <c r="FJ48" s="166">
        <v>0</v>
      </c>
      <c r="FK48" s="166">
        <v>0</v>
      </c>
      <c r="FL48" s="166">
        <v>0</v>
      </c>
      <c r="FM48" s="166">
        <v>0</v>
      </c>
      <c r="FN48" s="166">
        <v>0</v>
      </c>
      <c r="FO48" s="166">
        <v>0</v>
      </c>
      <c r="FP48" s="166">
        <v>0</v>
      </c>
      <c r="FQ48" s="166">
        <v>0</v>
      </c>
      <c r="FR48" s="166">
        <v>0</v>
      </c>
      <c r="FS48" s="166">
        <v>0</v>
      </c>
      <c r="FT48" s="166">
        <v>0</v>
      </c>
      <c r="FU48" s="166">
        <v>0</v>
      </c>
      <c r="FV48" s="166">
        <v>0</v>
      </c>
      <c r="FW48" s="166">
        <v>0</v>
      </c>
      <c r="FX48" s="166">
        <v>0</v>
      </c>
      <c r="FY48" s="166">
        <v>0</v>
      </c>
      <c r="FZ48" s="165">
        <v>0</v>
      </c>
      <c r="GA48" s="165">
        <v>0</v>
      </c>
      <c r="GB48" s="165">
        <v>0</v>
      </c>
      <c r="GC48" s="165">
        <v>0</v>
      </c>
      <c r="GD48" s="165">
        <v>0</v>
      </c>
      <c r="GE48" s="165">
        <v>0</v>
      </c>
      <c r="GF48" s="165">
        <v>0</v>
      </c>
      <c r="GG48" s="165">
        <v>0</v>
      </c>
      <c r="GH48" s="165">
        <v>0</v>
      </c>
      <c r="GI48" s="165">
        <v>0</v>
      </c>
      <c r="GJ48" s="165">
        <v>0</v>
      </c>
      <c r="GK48" s="165">
        <v>0</v>
      </c>
      <c r="GL48" s="165">
        <v>0</v>
      </c>
      <c r="GM48" s="165">
        <v>0</v>
      </c>
      <c r="GN48" s="165">
        <v>0</v>
      </c>
      <c r="GO48" s="165">
        <v>0</v>
      </c>
      <c r="GP48" s="165">
        <v>0</v>
      </c>
      <c r="GQ48" s="165">
        <v>0</v>
      </c>
      <c r="GR48" s="165">
        <v>0</v>
      </c>
      <c r="GS48" s="165">
        <v>0</v>
      </c>
      <c r="GT48" s="165">
        <v>0</v>
      </c>
      <c r="GU48" s="165">
        <v>0</v>
      </c>
      <c r="GV48" s="165">
        <v>0</v>
      </c>
      <c r="GW48" s="165">
        <v>0</v>
      </c>
      <c r="GX48" s="165">
        <v>0</v>
      </c>
      <c r="GY48" s="165">
        <v>0</v>
      </c>
      <c r="GZ48" s="165">
        <v>0</v>
      </c>
      <c r="HA48" s="165">
        <v>0</v>
      </c>
      <c r="HB48" s="166">
        <v>2</v>
      </c>
      <c r="HC48" s="166">
        <v>2</v>
      </c>
      <c r="HD48" s="166">
        <v>0</v>
      </c>
      <c r="HE48" s="166">
        <v>0</v>
      </c>
      <c r="HF48" s="166"/>
      <c r="HG48" s="166">
        <v>0</v>
      </c>
      <c r="HH48" s="166">
        <v>0</v>
      </c>
      <c r="HI48" s="166">
        <v>0</v>
      </c>
      <c r="HJ48" s="166">
        <v>0</v>
      </c>
      <c r="HK48" s="166">
        <v>0</v>
      </c>
      <c r="HL48" s="166">
        <v>0</v>
      </c>
      <c r="HM48" s="166">
        <v>0</v>
      </c>
      <c r="HN48" s="166">
        <v>0</v>
      </c>
      <c r="HO48" s="166">
        <v>0</v>
      </c>
      <c r="HP48" s="166">
        <v>0</v>
      </c>
      <c r="HQ48" s="166">
        <v>0</v>
      </c>
      <c r="HR48" s="166">
        <v>0</v>
      </c>
      <c r="HS48" s="166">
        <v>0</v>
      </c>
      <c r="HT48" s="166">
        <f>FY26_FE_Data_April15[[#This Row],[Oct 1, 2026 (CDC) - K]]+FY26_FE_Data_April15[[#This Row],[Oct 1, 2026 (CDC) - Grades 1-6]]+FY26_FE_Data_April15[[#This Row],[Oct 1, 2026 (CDC) - Grades 7-8]]</f>
        <v>0</v>
      </c>
      <c r="HU48" s="166">
        <v>0</v>
      </c>
      <c r="HW48" s="170"/>
      <c r="HY48" s="170"/>
    </row>
    <row r="49" spans="1:233" ht="65">
      <c r="A49" s="158">
        <v>74</v>
      </c>
      <c r="B49" s="159" t="s">
        <v>373</v>
      </c>
      <c r="C49" s="171" t="s">
        <v>374</v>
      </c>
      <c r="D49" s="160" t="s">
        <v>139</v>
      </c>
      <c r="E49" s="159" t="s">
        <v>784</v>
      </c>
      <c r="F49" s="159" t="s">
        <v>784</v>
      </c>
      <c r="G49" s="159" t="s">
        <v>784</v>
      </c>
      <c r="H49" s="161">
        <v>379.41666666666669</v>
      </c>
      <c r="I49" s="161">
        <v>35.416666666666664</v>
      </c>
      <c r="J49" s="161">
        <v>414.83333333333337</v>
      </c>
      <c r="K49" s="162">
        <v>441</v>
      </c>
      <c r="L49" s="162">
        <v>3026</v>
      </c>
      <c r="M49" s="162">
        <v>927</v>
      </c>
      <c r="N49" s="162">
        <v>802</v>
      </c>
      <c r="O49" s="162">
        <v>5196</v>
      </c>
      <c r="P49" s="162">
        <v>4755</v>
      </c>
      <c r="Q49" s="162">
        <v>4394</v>
      </c>
      <c r="R49" s="162">
        <v>42</v>
      </c>
      <c r="S49" s="160">
        <v>433.52222222222224</v>
      </c>
      <c r="T49" s="160">
        <v>452.51666666666665</v>
      </c>
      <c r="U49" s="160">
        <v>512.11666666666667</v>
      </c>
      <c r="V49" s="160">
        <v>498.98888888888888</v>
      </c>
      <c r="W49" s="160">
        <v>527.58888888888885</v>
      </c>
      <c r="X49" s="160">
        <v>494.28333333333336</v>
      </c>
      <c r="Y49" s="160">
        <v>504.79444444444442</v>
      </c>
      <c r="Z49" s="160">
        <v>480.34444444444443</v>
      </c>
      <c r="AA49" s="160">
        <v>419.51111111111112</v>
      </c>
      <c r="AB49" s="160">
        <v>285.5</v>
      </c>
      <c r="AC49" s="160">
        <v>210.38888888888889</v>
      </c>
      <c r="AD49" s="160">
        <v>147.09444444444443</v>
      </c>
      <c r="AE49" s="160">
        <v>132.94999999999999</v>
      </c>
      <c r="AF49" s="160">
        <v>2990.2888888888888</v>
      </c>
      <c r="AG49" s="160">
        <v>899.85555555555561</v>
      </c>
      <c r="AH49" s="160">
        <v>775.93333333333339</v>
      </c>
      <c r="AI49" s="160">
        <v>4323.6666666666661</v>
      </c>
      <c r="AJ49" s="160">
        <v>4666.0777777777776</v>
      </c>
      <c r="AK49" s="160">
        <v>5099.5999999999995</v>
      </c>
      <c r="AL49" s="161">
        <v>448.85555555555555</v>
      </c>
      <c r="AM49" s="161">
        <v>34.6</v>
      </c>
      <c r="AN49" s="161">
        <v>483.45555555555558</v>
      </c>
      <c r="AO49" s="161">
        <v>5134.2</v>
      </c>
      <c r="AP49" s="162">
        <v>443</v>
      </c>
      <c r="AQ49" s="168">
        <v>478</v>
      </c>
      <c r="AR49" s="160">
        <v>444</v>
      </c>
      <c r="AS49" s="160">
        <v>515</v>
      </c>
      <c r="AT49" s="160">
        <v>494</v>
      </c>
      <c r="AU49" s="160">
        <v>511</v>
      </c>
      <c r="AV49" s="160">
        <v>463</v>
      </c>
      <c r="AW49" s="160">
        <v>462</v>
      </c>
      <c r="AX49" s="160">
        <v>426</v>
      </c>
      <c r="AY49" s="160">
        <v>301</v>
      </c>
      <c r="AZ49" s="160">
        <v>208</v>
      </c>
      <c r="BA49" s="160">
        <v>165</v>
      </c>
      <c r="BB49" s="160">
        <v>137</v>
      </c>
      <c r="BC49" s="160">
        <v>2905</v>
      </c>
      <c r="BD49" s="160">
        <v>888</v>
      </c>
      <c r="BE49" s="160">
        <v>811</v>
      </c>
      <c r="BF49" s="160">
        <v>4236</v>
      </c>
      <c r="BG49" s="160">
        <v>4604</v>
      </c>
      <c r="BH49" s="160">
        <v>5047</v>
      </c>
      <c r="BI49" s="160">
        <v>373</v>
      </c>
      <c r="BJ49" s="160">
        <v>70</v>
      </c>
      <c r="BK49" s="160">
        <v>0</v>
      </c>
      <c r="BL49" s="160">
        <v>1726</v>
      </c>
      <c r="BM49" s="160">
        <v>410</v>
      </c>
      <c r="BN49" s="162">
        <v>24</v>
      </c>
      <c r="BO49" s="162">
        <v>434</v>
      </c>
      <c r="BP49" s="162">
        <v>1502</v>
      </c>
      <c r="BQ49" s="163">
        <v>6.0231977449810847E-2</v>
      </c>
      <c r="BR49" s="164">
        <v>274.42599999999999</v>
      </c>
      <c r="BS49" s="164">
        <v>261.815</v>
      </c>
      <c r="BT49" s="164">
        <v>251.065</v>
      </c>
      <c r="BU49" s="164">
        <v>283.42600000000004</v>
      </c>
      <c r="BV49" s="165">
        <v>0</v>
      </c>
      <c r="BW49" s="165">
        <v>0</v>
      </c>
      <c r="BX49" s="166">
        <v>0</v>
      </c>
      <c r="BY49" s="166">
        <v>64.716666000000004</v>
      </c>
      <c r="BZ49" s="166">
        <v>373.9</v>
      </c>
      <c r="CA49" s="166">
        <v>438.61666666666667</v>
      </c>
      <c r="CB49" s="166">
        <v>469</v>
      </c>
      <c r="CC49" s="166">
        <v>434.8</v>
      </c>
      <c r="CD49" s="166">
        <v>500.4</v>
      </c>
      <c r="CE49" s="166">
        <v>482.73333333333335</v>
      </c>
      <c r="CF49" s="166">
        <v>503.48888888888888</v>
      </c>
      <c r="CG49" s="166">
        <v>458.90555555555557</v>
      </c>
      <c r="CH49" s="166">
        <v>455.8</v>
      </c>
      <c r="CI49" s="166">
        <v>411.81666666666666</v>
      </c>
      <c r="CJ49" s="166">
        <v>290.98333333333335</v>
      </c>
      <c r="CK49" s="166">
        <v>201.95</v>
      </c>
      <c r="CL49" s="166">
        <v>157.6888888888889</v>
      </c>
      <c r="CM49" s="166">
        <v>132.92777777777778</v>
      </c>
      <c r="CN49" s="166">
        <v>2849.3277777777776</v>
      </c>
      <c r="CO49" s="166">
        <v>867.61666666666667</v>
      </c>
      <c r="CP49" s="166">
        <v>783.55000000000007</v>
      </c>
      <c r="CQ49" s="166">
        <v>4155.561111111112</v>
      </c>
      <c r="CR49" s="166">
        <v>4500.4944444444445</v>
      </c>
      <c r="CS49" s="166">
        <v>4939.1111111111122</v>
      </c>
      <c r="CT49" s="166">
        <v>458.22777777777799</v>
      </c>
      <c r="CU49" s="166">
        <v>23.661111111111101</v>
      </c>
      <c r="CV49" s="166">
        <v>481.88888888888908</v>
      </c>
      <c r="CW49" s="166">
        <v>4962.7722222222237</v>
      </c>
      <c r="CX49" s="166">
        <v>0</v>
      </c>
      <c r="CY49" s="166">
        <v>414</v>
      </c>
      <c r="CZ49" s="172">
        <v>75</v>
      </c>
      <c r="DA49" s="172">
        <v>489</v>
      </c>
      <c r="DB49" s="172">
        <v>502</v>
      </c>
      <c r="DC49" s="172">
        <v>525</v>
      </c>
      <c r="DD49" s="172">
        <v>492</v>
      </c>
      <c r="DE49" s="172">
        <v>541</v>
      </c>
      <c r="DF49" s="172">
        <v>527</v>
      </c>
      <c r="DG49" s="172">
        <v>539</v>
      </c>
      <c r="DH49" s="172">
        <v>497</v>
      </c>
      <c r="DI49" s="172">
        <v>458</v>
      </c>
      <c r="DJ49" s="172">
        <v>292</v>
      </c>
      <c r="DK49" s="172">
        <v>217</v>
      </c>
      <c r="DL49" s="172">
        <v>177</v>
      </c>
      <c r="DM49" s="172">
        <v>139</v>
      </c>
      <c r="DN49" s="172">
        <v>3126</v>
      </c>
      <c r="DO49" s="172">
        <v>955</v>
      </c>
      <c r="DP49" s="172">
        <v>825</v>
      </c>
      <c r="DQ49" s="172">
        <v>4570</v>
      </c>
      <c r="DR49" s="172">
        <v>4906</v>
      </c>
      <c r="DS49" s="172">
        <v>5395</v>
      </c>
      <c r="DT49" s="165">
        <v>0</v>
      </c>
      <c r="DU49" s="165">
        <v>1784</v>
      </c>
      <c r="DV49" s="165">
        <v>493</v>
      </c>
      <c r="DW49" s="165">
        <v>17</v>
      </c>
      <c r="DX49" s="165">
        <v>510</v>
      </c>
      <c r="DY49" s="165">
        <v>5412</v>
      </c>
      <c r="DZ49" s="165">
        <v>1468</v>
      </c>
      <c r="EA49" s="166">
        <v>280.113</v>
      </c>
      <c r="EB49" s="166">
        <v>267.21299999999997</v>
      </c>
      <c r="EC49" s="166">
        <v>145.291</v>
      </c>
      <c r="ED49" s="166">
        <v>89.033000000000001</v>
      </c>
      <c r="EE49" s="166">
        <v>0</v>
      </c>
      <c r="EF49" s="166">
        <v>287.113</v>
      </c>
      <c r="EG49" s="167">
        <v>6.3162661552956356E-2</v>
      </c>
      <c r="EH49" s="165">
        <v>0</v>
      </c>
      <c r="EI49" s="165">
        <v>459</v>
      </c>
      <c r="EJ49" s="165">
        <v>4915</v>
      </c>
      <c r="EK49" s="165">
        <v>3120</v>
      </c>
      <c r="EL49" s="165">
        <v>928</v>
      </c>
      <c r="EM49" s="165">
        <v>867</v>
      </c>
      <c r="EN49" s="165">
        <v>5374</v>
      </c>
      <c r="EO49" s="165">
        <v>0</v>
      </c>
      <c r="EP49" s="165">
        <v>504</v>
      </c>
      <c r="EQ49" s="165">
        <v>504</v>
      </c>
      <c r="ER49" s="165">
        <v>488</v>
      </c>
      <c r="ES49" s="165">
        <v>16</v>
      </c>
      <c r="ET49" s="165">
        <v>18</v>
      </c>
      <c r="EU49" s="166">
        <v>143.01</v>
      </c>
      <c r="EV49" s="166">
        <v>6.55</v>
      </c>
      <c r="EW49" s="166">
        <v>83.36</v>
      </c>
      <c r="EX49" s="166">
        <v>10.61</v>
      </c>
      <c r="EY49" s="166">
        <v>67.930000000000007</v>
      </c>
      <c r="EZ49" s="166">
        <v>311.46000000000004</v>
      </c>
      <c r="FA49" s="173">
        <v>73.072222222222223</v>
      </c>
      <c r="FB49" s="174">
        <v>419.16666666666669</v>
      </c>
      <c r="FC49" s="174">
        <v>492.23888888888888</v>
      </c>
      <c r="FD49" s="174">
        <v>494.49444444444441</v>
      </c>
      <c r="FE49" s="174">
        <v>518.14444444444439</v>
      </c>
      <c r="FF49" s="174">
        <v>490.97777777777776</v>
      </c>
      <c r="FG49" s="174">
        <v>535.56111111111113</v>
      </c>
      <c r="FH49" s="174">
        <v>511.24444444444447</v>
      </c>
      <c r="FI49" s="174">
        <v>523.29444444444448</v>
      </c>
      <c r="FJ49" s="174">
        <v>482.9666666666667</v>
      </c>
      <c r="FK49" s="174">
        <v>443.46111111111111</v>
      </c>
      <c r="FL49" s="174">
        <v>285.22222222222223</v>
      </c>
      <c r="FM49" s="174">
        <v>213.61111111111111</v>
      </c>
      <c r="FN49" s="174">
        <v>170.67222222222222</v>
      </c>
      <c r="FO49" s="174">
        <v>137.74444444444444</v>
      </c>
      <c r="FP49" s="174">
        <v>3073.7166666666662</v>
      </c>
      <c r="FQ49" s="174">
        <v>926.42777777777781</v>
      </c>
      <c r="FR49" s="175">
        <v>807.25</v>
      </c>
      <c r="FS49" s="175">
        <f>SUM(FY26_FE_Data_April15[[#This Row],[FY25 ADM - Total K]:[FY25 ADM - Grade 8]])</f>
        <v>4492.3833333333332</v>
      </c>
      <c r="FT49" s="175">
        <v>4807.3944444444451</v>
      </c>
      <c r="FU49" s="175">
        <f>FY26_FE_Data_April15[[#This Row],[FY25 ADM - Grades 1-12]]+FY26_FE_Data_April15[[#This Row],[FY25 ADM - Total K]]</f>
        <v>5299.6333333333341</v>
      </c>
      <c r="FV49" s="166">
        <v>496.8388888888889</v>
      </c>
      <c r="FW49" s="166">
        <v>18.372222222222224</v>
      </c>
      <c r="FX49" s="166">
        <v>515.21111111111111</v>
      </c>
      <c r="FY49" s="175">
        <f>FY26_FE_Data_April15[[#This Row],[FY25 ADM - Grades K-12]]+FY26_FE_Data_April15[[#This Row],[FY25 ADM - SPED Self-Contained]]</f>
        <v>5318.0055555555564</v>
      </c>
      <c r="FZ49" s="165">
        <v>0</v>
      </c>
      <c r="GA49" s="165">
        <v>508</v>
      </c>
      <c r="GB49" s="165">
        <v>508</v>
      </c>
      <c r="GC49" s="165">
        <v>525</v>
      </c>
      <c r="GD49" s="165">
        <v>514</v>
      </c>
      <c r="GE49" s="165">
        <v>524</v>
      </c>
      <c r="GF49" s="165">
        <v>514</v>
      </c>
      <c r="GG49" s="165">
        <v>536</v>
      </c>
      <c r="GH49" s="165">
        <v>510</v>
      </c>
      <c r="GI49" s="165">
        <v>503</v>
      </c>
      <c r="GJ49" s="165">
        <v>456</v>
      </c>
      <c r="GK49" s="165">
        <v>316</v>
      </c>
      <c r="GL49" s="165">
        <v>209</v>
      </c>
      <c r="GM49" s="165">
        <v>178</v>
      </c>
      <c r="GN49" s="165">
        <v>158</v>
      </c>
      <c r="GO49" s="165">
        <v>3123</v>
      </c>
      <c r="GP49" s="165">
        <v>959</v>
      </c>
      <c r="GQ49" s="165">
        <v>861</v>
      </c>
      <c r="GR49" s="165">
        <v>4590</v>
      </c>
      <c r="GS49" s="165">
        <v>4943</v>
      </c>
      <c r="GT49" s="165">
        <v>5451</v>
      </c>
      <c r="GU49" s="165">
        <v>1</v>
      </c>
      <c r="GV49" s="165">
        <v>2044</v>
      </c>
      <c r="GW49" s="165">
        <v>531</v>
      </c>
      <c r="GX49" s="165">
        <v>21</v>
      </c>
      <c r="GY49" s="165">
        <v>552</v>
      </c>
      <c r="GZ49" s="165">
        <v>5472</v>
      </c>
      <c r="HA49" s="165">
        <v>1456</v>
      </c>
      <c r="HB49" s="166">
        <v>281.10399999999998</v>
      </c>
      <c r="HC49" s="166">
        <v>268.20399999999995</v>
      </c>
      <c r="HD49" s="166">
        <v>144.04500000000002</v>
      </c>
      <c r="HE49" s="166">
        <v>86.496999999999971</v>
      </c>
      <c r="HF49" s="166"/>
      <c r="HG49" s="166">
        <v>283.10399999999998</v>
      </c>
      <c r="HH49" s="166">
        <v>0</v>
      </c>
      <c r="HI49" s="166">
        <v>552</v>
      </c>
      <c r="HJ49" s="166">
        <v>552</v>
      </c>
      <c r="HK49" s="166">
        <v>526</v>
      </c>
      <c r="HL49" s="166">
        <v>26</v>
      </c>
      <c r="HM49" s="166">
        <v>37</v>
      </c>
      <c r="HN49" s="166">
        <v>588</v>
      </c>
      <c r="HO49" s="166">
        <v>5176</v>
      </c>
      <c r="HP49" s="166">
        <v>3521</v>
      </c>
      <c r="HQ49" s="166">
        <v>782</v>
      </c>
      <c r="HR49" s="166">
        <v>873</v>
      </c>
      <c r="HS49" s="166">
        <v>5764</v>
      </c>
      <c r="HT49" s="166">
        <f>FY26_FE_Data_April15[[#This Row],[Oct 1, 2026 (CDC) - K]]+FY26_FE_Data_April15[[#This Row],[Oct 1, 2026 (CDC) - Grades 1-6]]+FY26_FE_Data_April15[[#This Row],[Oct 1, 2026 (CDC) - Grades 7-8]]</f>
        <v>4891</v>
      </c>
      <c r="HU49" s="166">
        <v>0</v>
      </c>
      <c r="HW49" s="170"/>
      <c r="HY49" s="170"/>
    </row>
    <row r="50" spans="1:233" ht="26">
      <c r="A50" s="158">
        <v>81</v>
      </c>
      <c r="B50" s="159" t="s">
        <v>375</v>
      </c>
      <c r="C50" s="160" t="s">
        <v>376</v>
      </c>
      <c r="D50" s="160" t="s">
        <v>139</v>
      </c>
      <c r="E50" s="159" t="s">
        <v>784</v>
      </c>
      <c r="F50" s="159" t="s">
        <v>784</v>
      </c>
      <c r="G50" s="159"/>
      <c r="H50" s="161">
        <v>69.261111111111106</v>
      </c>
      <c r="I50" s="161">
        <v>6.322222222222222</v>
      </c>
      <c r="J50" s="161">
        <v>75.583333333333329</v>
      </c>
      <c r="K50" s="162">
        <v>31</v>
      </c>
      <c r="L50" s="162">
        <v>188</v>
      </c>
      <c r="M50" s="162">
        <v>75</v>
      </c>
      <c r="N50" s="162">
        <v>126</v>
      </c>
      <c r="O50" s="162">
        <v>420</v>
      </c>
      <c r="P50" s="162">
        <v>389</v>
      </c>
      <c r="Q50" s="162">
        <v>294</v>
      </c>
      <c r="R50" s="162">
        <v>6</v>
      </c>
      <c r="S50" s="160">
        <v>30.2</v>
      </c>
      <c r="T50" s="160">
        <v>32.87222222222222</v>
      </c>
      <c r="U50" s="160">
        <v>27.961111111111112</v>
      </c>
      <c r="V50" s="160">
        <v>29.25</v>
      </c>
      <c r="W50" s="160">
        <v>26.577777777777779</v>
      </c>
      <c r="X50" s="160">
        <v>33.011111111111113</v>
      </c>
      <c r="Y50" s="160">
        <v>28.316666666666666</v>
      </c>
      <c r="Z50" s="160">
        <v>34.93333333333333</v>
      </c>
      <c r="AA50" s="160">
        <v>36.37777777777778</v>
      </c>
      <c r="AB50" s="160">
        <v>31.294444444444444</v>
      </c>
      <c r="AC50" s="160">
        <v>33.672222222222224</v>
      </c>
      <c r="AD50" s="160">
        <v>32.983333333333334</v>
      </c>
      <c r="AE50" s="160">
        <v>26.922222222222221</v>
      </c>
      <c r="AF50" s="160">
        <v>177.98888888888888</v>
      </c>
      <c r="AG50" s="160">
        <v>71.311111111111103</v>
      </c>
      <c r="AH50" s="160">
        <v>124.87222222222222</v>
      </c>
      <c r="AI50" s="160">
        <v>279.5</v>
      </c>
      <c r="AJ50" s="160">
        <v>374.17222222222222</v>
      </c>
      <c r="AK50" s="160">
        <v>404.37222222222221</v>
      </c>
      <c r="AL50" s="161">
        <v>95.138888888888886</v>
      </c>
      <c r="AM50" s="161">
        <v>6.1</v>
      </c>
      <c r="AN50" s="161">
        <v>101.23888888888888</v>
      </c>
      <c r="AO50" s="161">
        <v>410.47222222222223</v>
      </c>
      <c r="AP50" s="162">
        <v>29</v>
      </c>
      <c r="AQ50" s="168">
        <v>25</v>
      </c>
      <c r="AR50" s="160">
        <v>31</v>
      </c>
      <c r="AS50" s="160">
        <v>27</v>
      </c>
      <c r="AT50" s="160">
        <v>28</v>
      </c>
      <c r="AU50" s="160">
        <v>24</v>
      </c>
      <c r="AV50" s="160">
        <v>33</v>
      </c>
      <c r="AW50" s="160">
        <v>33</v>
      </c>
      <c r="AX50" s="160">
        <v>36</v>
      </c>
      <c r="AY50" s="160">
        <v>27</v>
      </c>
      <c r="AZ50" s="160">
        <v>31</v>
      </c>
      <c r="BA50" s="160">
        <v>26</v>
      </c>
      <c r="BB50" s="160">
        <v>28</v>
      </c>
      <c r="BC50" s="160">
        <v>168</v>
      </c>
      <c r="BD50" s="160">
        <v>69</v>
      </c>
      <c r="BE50" s="160">
        <v>112</v>
      </c>
      <c r="BF50" s="160">
        <v>266</v>
      </c>
      <c r="BG50" s="160">
        <v>349</v>
      </c>
      <c r="BH50" s="160">
        <v>378</v>
      </c>
      <c r="BI50" s="160">
        <v>29</v>
      </c>
      <c r="BJ50" s="160">
        <v>0</v>
      </c>
      <c r="BK50" s="160">
        <v>0</v>
      </c>
      <c r="BL50" s="160">
        <v>154</v>
      </c>
      <c r="BM50" s="160">
        <v>83</v>
      </c>
      <c r="BN50" s="162">
        <v>9</v>
      </c>
      <c r="BO50" s="162">
        <v>92</v>
      </c>
      <c r="BP50" s="162">
        <v>4</v>
      </c>
      <c r="BQ50" s="163">
        <v>7.0849705304518673E-2</v>
      </c>
      <c r="BR50" s="164">
        <v>40.909999999999997</v>
      </c>
      <c r="BS50" s="164">
        <v>37.959999999999994</v>
      </c>
      <c r="BT50" s="164">
        <v>36.97</v>
      </c>
      <c r="BU50" s="164">
        <v>40.909999999999997</v>
      </c>
      <c r="BV50" s="165">
        <v>0</v>
      </c>
      <c r="BW50" s="165">
        <v>0</v>
      </c>
      <c r="BX50" s="166">
        <v>0</v>
      </c>
      <c r="BY50" s="166">
        <v>1.0444439999999999</v>
      </c>
      <c r="BZ50" s="166">
        <v>27.833333</v>
      </c>
      <c r="CA50" s="166">
        <v>28.877777777777776</v>
      </c>
      <c r="CB50" s="166">
        <v>24.761111111111113</v>
      </c>
      <c r="CC50" s="166">
        <v>29.172222222222221</v>
      </c>
      <c r="CD50" s="166">
        <v>24.35</v>
      </c>
      <c r="CE50" s="166">
        <v>27.766666666666666</v>
      </c>
      <c r="CF50" s="166">
        <v>22.588888888888889</v>
      </c>
      <c r="CG50" s="166">
        <v>32.455555555555556</v>
      </c>
      <c r="CH50" s="166">
        <v>34.15</v>
      </c>
      <c r="CI50" s="166">
        <v>34.31111111111111</v>
      </c>
      <c r="CJ50" s="166">
        <v>26.3</v>
      </c>
      <c r="CK50" s="166">
        <v>28.861111111111111</v>
      </c>
      <c r="CL50" s="166">
        <v>24.85</v>
      </c>
      <c r="CM50" s="166">
        <v>27.594444444444445</v>
      </c>
      <c r="CN50" s="166">
        <v>161.09444444444443</v>
      </c>
      <c r="CO50" s="166">
        <v>68.461111111111109</v>
      </c>
      <c r="CP50" s="166">
        <v>107.60555555555557</v>
      </c>
      <c r="CQ50" s="166">
        <v>258.43333333333334</v>
      </c>
      <c r="CR50" s="166">
        <v>337.1611111111111</v>
      </c>
      <c r="CS50" s="166">
        <v>366.03888888888889</v>
      </c>
      <c r="CT50" s="166">
        <v>95.311111111111103</v>
      </c>
      <c r="CU50" s="166">
        <v>4</v>
      </c>
      <c r="CV50" s="166">
        <v>99.311111111111103</v>
      </c>
      <c r="CW50" s="166">
        <v>370.03888888888889</v>
      </c>
      <c r="CX50" s="166">
        <v>0</v>
      </c>
      <c r="CY50" s="166">
        <v>29</v>
      </c>
      <c r="CZ50" s="165">
        <v>0</v>
      </c>
      <c r="DA50" s="165">
        <v>29</v>
      </c>
      <c r="DB50" s="165">
        <v>31</v>
      </c>
      <c r="DC50" s="165">
        <v>31</v>
      </c>
      <c r="DD50" s="165">
        <v>31</v>
      </c>
      <c r="DE50" s="165">
        <v>30</v>
      </c>
      <c r="DF50" s="165">
        <v>30</v>
      </c>
      <c r="DG50" s="165">
        <v>22</v>
      </c>
      <c r="DH50" s="165">
        <v>35</v>
      </c>
      <c r="DI50" s="165">
        <v>34</v>
      </c>
      <c r="DJ50" s="165">
        <v>34</v>
      </c>
      <c r="DK50" s="165">
        <v>28</v>
      </c>
      <c r="DL50" s="165">
        <v>25</v>
      </c>
      <c r="DM50" s="165">
        <v>26</v>
      </c>
      <c r="DN50" s="165">
        <v>175</v>
      </c>
      <c r="DO50" s="165">
        <v>69</v>
      </c>
      <c r="DP50" s="165">
        <v>113</v>
      </c>
      <c r="DQ50" s="165">
        <v>273</v>
      </c>
      <c r="DR50" s="165">
        <v>357</v>
      </c>
      <c r="DS50" s="165">
        <v>386</v>
      </c>
      <c r="DT50" s="165">
        <v>0</v>
      </c>
      <c r="DU50" s="165">
        <v>143</v>
      </c>
      <c r="DV50" s="165">
        <v>90</v>
      </c>
      <c r="DW50" s="165">
        <v>5</v>
      </c>
      <c r="DX50" s="165">
        <v>95</v>
      </c>
      <c r="DY50" s="165">
        <v>391</v>
      </c>
      <c r="DZ50" s="165">
        <v>5</v>
      </c>
      <c r="EA50" s="166">
        <v>44.484999999999999</v>
      </c>
      <c r="EB50" s="166">
        <v>41.484999999999992</v>
      </c>
      <c r="EC50" s="166">
        <v>14.997000000000002</v>
      </c>
      <c r="ED50" s="166">
        <v>21.160000000000004</v>
      </c>
      <c r="EE50" s="166">
        <v>0.1</v>
      </c>
      <c r="EF50" s="166">
        <v>44.855000000000011</v>
      </c>
      <c r="EG50" s="167">
        <v>6.8569472111553731E-2</v>
      </c>
      <c r="EH50" s="165"/>
      <c r="EI50" s="165">
        <v>28</v>
      </c>
      <c r="EJ50" s="165">
        <v>356</v>
      </c>
      <c r="EK50" s="165">
        <v>170</v>
      </c>
      <c r="EL50" s="165">
        <v>67</v>
      </c>
      <c r="EM50" s="165">
        <v>119</v>
      </c>
      <c r="EN50" s="165">
        <v>384</v>
      </c>
      <c r="EO50" s="165">
        <v>0</v>
      </c>
      <c r="EP50" s="165">
        <v>106</v>
      </c>
      <c r="EQ50" s="165">
        <v>106</v>
      </c>
      <c r="ER50" s="165">
        <v>99</v>
      </c>
      <c r="ES50" s="165">
        <v>7</v>
      </c>
      <c r="ET50" s="165">
        <v>0</v>
      </c>
      <c r="EU50" s="166">
        <v>10.8</v>
      </c>
      <c r="EV50" s="166">
        <v>0</v>
      </c>
      <c r="EW50" s="166">
        <v>3.96</v>
      </c>
      <c r="EX50" s="166">
        <v>0.98</v>
      </c>
      <c r="EY50" s="166">
        <v>4.45</v>
      </c>
      <c r="EZ50" s="166">
        <v>20.190000000000001</v>
      </c>
      <c r="FA50" s="166">
        <v>0</v>
      </c>
      <c r="FB50" s="166">
        <v>29.033333333333335</v>
      </c>
      <c r="FC50" s="166">
        <v>29.033333333333335</v>
      </c>
      <c r="FD50" s="166">
        <v>30.788888888888888</v>
      </c>
      <c r="FE50" s="166">
        <v>29.544444444444444</v>
      </c>
      <c r="FF50" s="166">
        <v>30.594444444444445</v>
      </c>
      <c r="FG50" s="166">
        <v>26.638888888888889</v>
      </c>
      <c r="FH50" s="166">
        <v>30.011111111111113</v>
      </c>
      <c r="FI50" s="166">
        <v>20.072222222222223</v>
      </c>
      <c r="FJ50" s="166">
        <v>33.222222222222221</v>
      </c>
      <c r="FK50" s="166">
        <v>33.661111111111111</v>
      </c>
      <c r="FL50" s="166">
        <v>32.166666666666664</v>
      </c>
      <c r="FM50" s="166">
        <v>27.505555555555556</v>
      </c>
      <c r="FN50" s="166">
        <v>23.955555555555556</v>
      </c>
      <c r="FO50" s="166">
        <v>25.405555555555555</v>
      </c>
      <c r="FP50" s="166">
        <v>167.65</v>
      </c>
      <c r="FQ50" s="166">
        <v>66.883333333333326</v>
      </c>
      <c r="FR50" s="166">
        <v>109.03333333333332</v>
      </c>
      <c r="FS50" s="166">
        <v>263.56666666666672</v>
      </c>
      <c r="FT50" s="166">
        <v>343.56666666666672</v>
      </c>
      <c r="FU50" s="166">
        <v>372.60000000000008</v>
      </c>
      <c r="FV50" s="166">
        <v>93.772222222222226</v>
      </c>
      <c r="FW50" s="166">
        <v>6.2611111111111111</v>
      </c>
      <c r="FX50" s="166">
        <v>100.03333333333333</v>
      </c>
      <c r="FY50" s="166">
        <v>378.8611111111112</v>
      </c>
      <c r="FZ50" s="165">
        <v>0</v>
      </c>
      <c r="GA50" s="165">
        <v>30</v>
      </c>
      <c r="GB50" s="165">
        <v>30</v>
      </c>
      <c r="GC50" s="165">
        <v>31</v>
      </c>
      <c r="GD50" s="165">
        <v>33</v>
      </c>
      <c r="GE50" s="165">
        <v>32</v>
      </c>
      <c r="GF50" s="165">
        <v>30</v>
      </c>
      <c r="GG50" s="165">
        <v>27</v>
      </c>
      <c r="GH50" s="165">
        <v>28</v>
      </c>
      <c r="GI50" s="165">
        <v>33</v>
      </c>
      <c r="GJ50" s="165">
        <v>36</v>
      </c>
      <c r="GK50" s="165">
        <v>31</v>
      </c>
      <c r="GL50" s="165">
        <v>28</v>
      </c>
      <c r="GM50" s="165">
        <v>31</v>
      </c>
      <c r="GN50" s="165">
        <v>27</v>
      </c>
      <c r="GO50" s="165">
        <v>181</v>
      </c>
      <c r="GP50" s="165">
        <v>69</v>
      </c>
      <c r="GQ50" s="165">
        <v>117</v>
      </c>
      <c r="GR50" s="165">
        <v>280</v>
      </c>
      <c r="GS50" s="165">
        <v>367</v>
      </c>
      <c r="GT50" s="165">
        <v>397</v>
      </c>
      <c r="GU50" s="165">
        <v>0</v>
      </c>
      <c r="GV50" s="165">
        <v>159</v>
      </c>
      <c r="GW50" s="165">
        <v>86</v>
      </c>
      <c r="GX50" s="165">
        <v>10</v>
      </c>
      <c r="GY50" s="165">
        <v>96</v>
      </c>
      <c r="GZ50" s="165">
        <v>407</v>
      </c>
      <c r="HA50" s="165">
        <v>8</v>
      </c>
      <c r="HB50" s="166">
        <v>35.17</v>
      </c>
      <c r="HC50" s="166">
        <v>34.17</v>
      </c>
      <c r="HD50" s="166">
        <v>11.96</v>
      </c>
      <c r="HE50" s="166">
        <v>18.29</v>
      </c>
      <c r="HF50" s="166"/>
      <c r="HG50" s="166">
        <v>36.195</v>
      </c>
      <c r="HH50" s="166">
        <v>0</v>
      </c>
      <c r="HI50" s="166">
        <v>97</v>
      </c>
      <c r="HJ50" s="166">
        <v>97</v>
      </c>
      <c r="HK50" s="166">
        <v>87</v>
      </c>
      <c r="HL50" s="166">
        <v>10</v>
      </c>
      <c r="HM50" s="166">
        <v>0</v>
      </c>
      <c r="HN50" s="166">
        <v>29</v>
      </c>
      <c r="HO50" s="166">
        <v>372</v>
      </c>
      <c r="HP50" s="166">
        <v>182</v>
      </c>
      <c r="HQ50" s="166">
        <v>70</v>
      </c>
      <c r="HR50" s="166">
        <v>120</v>
      </c>
      <c r="HS50" s="166">
        <v>401</v>
      </c>
      <c r="HT50" s="166">
        <f>FY26_FE_Data_April15[[#This Row],[Oct 1, 2026 (CDC) - K]]+FY26_FE_Data_April15[[#This Row],[Oct 1, 2026 (CDC) - Grades 1-6]]+FY26_FE_Data_April15[[#This Row],[Oct 1, 2026 (CDC) - Grades 7-8]]</f>
        <v>281</v>
      </c>
      <c r="HU50" s="166">
        <v>0</v>
      </c>
      <c r="HW50" s="170"/>
      <c r="HY50" s="170"/>
    </row>
    <row r="51" spans="1:233" ht="26">
      <c r="A51" s="158">
        <v>82</v>
      </c>
      <c r="B51" s="159" t="s">
        <v>377</v>
      </c>
      <c r="C51" s="160" t="s">
        <v>378</v>
      </c>
      <c r="D51" s="160" t="s">
        <v>139</v>
      </c>
      <c r="E51" s="159" t="s">
        <v>784</v>
      </c>
      <c r="F51" s="159" t="s">
        <v>784</v>
      </c>
      <c r="G51" s="159"/>
      <c r="H51" s="161">
        <v>232.62222222222223</v>
      </c>
      <c r="I51" s="161">
        <v>9.0111111111111111</v>
      </c>
      <c r="J51" s="161">
        <v>241.63333333333335</v>
      </c>
      <c r="K51" s="162">
        <v>295</v>
      </c>
      <c r="L51" s="162">
        <v>1196</v>
      </c>
      <c r="M51" s="162">
        <v>302</v>
      </c>
      <c r="N51" s="162">
        <v>268</v>
      </c>
      <c r="O51" s="162">
        <v>2061</v>
      </c>
      <c r="P51" s="162">
        <v>1766</v>
      </c>
      <c r="Q51" s="162">
        <v>1793</v>
      </c>
      <c r="R51" s="162">
        <v>6</v>
      </c>
      <c r="S51" s="160">
        <v>289.01666666666665</v>
      </c>
      <c r="T51" s="160">
        <v>226.9</v>
      </c>
      <c r="U51" s="160">
        <v>237.01666666666668</v>
      </c>
      <c r="V51" s="160">
        <v>206.21111111111111</v>
      </c>
      <c r="W51" s="160">
        <v>193.78888888888889</v>
      </c>
      <c r="X51" s="160">
        <v>178.3388888888889</v>
      </c>
      <c r="Y51" s="160">
        <v>142.61111111111111</v>
      </c>
      <c r="Z51" s="160">
        <v>144.93333333333334</v>
      </c>
      <c r="AA51" s="160">
        <v>148.0611111111111</v>
      </c>
      <c r="AB51" s="160">
        <v>94.933333333333337</v>
      </c>
      <c r="AC51" s="160">
        <v>77.861111111111114</v>
      </c>
      <c r="AD51" s="160">
        <v>48.633333333333333</v>
      </c>
      <c r="AE51" s="160">
        <v>43.538888888888891</v>
      </c>
      <c r="AF51" s="160">
        <v>1184.8666666666666</v>
      </c>
      <c r="AG51" s="160">
        <v>292.99444444444441</v>
      </c>
      <c r="AH51" s="160">
        <v>264.9666666666667</v>
      </c>
      <c r="AI51" s="160">
        <v>1766.877777777778</v>
      </c>
      <c r="AJ51" s="160">
        <v>1742.827777777778</v>
      </c>
      <c r="AK51" s="160">
        <v>2031.8444444444449</v>
      </c>
      <c r="AL51" s="161">
        <v>276.78888888888889</v>
      </c>
      <c r="AM51" s="161">
        <v>8.1388888888888893</v>
      </c>
      <c r="AN51" s="161">
        <v>284.92777777777781</v>
      </c>
      <c r="AO51" s="161">
        <v>2039.9833333333338</v>
      </c>
      <c r="AP51" s="162">
        <v>292</v>
      </c>
      <c r="AQ51" s="168">
        <v>252</v>
      </c>
      <c r="AR51" s="160">
        <v>235</v>
      </c>
      <c r="AS51" s="160">
        <v>236</v>
      </c>
      <c r="AT51" s="160">
        <v>210</v>
      </c>
      <c r="AU51" s="160">
        <v>195</v>
      </c>
      <c r="AV51" s="160">
        <v>143</v>
      </c>
      <c r="AW51" s="160">
        <v>162</v>
      </c>
      <c r="AX51" s="160">
        <v>155</v>
      </c>
      <c r="AY51" s="160">
        <v>96</v>
      </c>
      <c r="AZ51" s="160">
        <v>72</v>
      </c>
      <c r="BA51" s="160">
        <v>68</v>
      </c>
      <c r="BB51" s="160">
        <v>40</v>
      </c>
      <c r="BC51" s="160">
        <v>1271</v>
      </c>
      <c r="BD51" s="160">
        <v>317</v>
      </c>
      <c r="BE51" s="160">
        <v>276</v>
      </c>
      <c r="BF51" s="160">
        <v>1880</v>
      </c>
      <c r="BG51" s="160">
        <v>1864</v>
      </c>
      <c r="BH51" s="160">
        <v>2156</v>
      </c>
      <c r="BI51" s="160">
        <v>234</v>
      </c>
      <c r="BJ51" s="160">
        <v>58</v>
      </c>
      <c r="BK51" s="160">
        <v>3</v>
      </c>
      <c r="BL51" s="160">
        <v>824</v>
      </c>
      <c r="BM51" s="160">
        <v>310</v>
      </c>
      <c r="BN51" s="162">
        <v>4</v>
      </c>
      <c r="BO51" s="162">
        <v>314</v>
      </c>
      <c r="BP51" s="162">
        <v>359</v>
      </c>
      <c r="BQ51" s="163">
        <v>6.2421986534875684E-2</v>
      </c>
      <c r="BR51" s="164">
        <v>138.83099999999999</v>
      </c>
      <c r="BS51" s="164">
        <v>129.941</v>
      </c>
      <c r="BT51" s="164">
        <v>125.941</v>
      </c>
      <c r="BU51" s="164">
        <v>139.83100000000002</v>
      </c>
      <c r="BV51" s="165">
        <v>0</v>
      </c>
      <c r="BW51" s="165">
        <v>0</v>
      </c>
      <c r="BX51" s="166">
        <v>0</v>
      </c>
      <c r="BY51" s="166">
        <v>58.611111000000001</v>
      </c>
      <c r="BZ51" s="166">
        <v>225.522222</v>
      </c>
      <c r="CA51" s="166">
        <v>284.13333333333333</v>
      </c>
      <c r="CB51" s="166">
        <v>253.70555555555555</v>
      </c>
      <c r="CC51" s="166">
        <v>229.18333333333334</v>
      </c>
      <c r="CD51" s="166">
        <v>233.94444444444446</v>
      </c>
      <c r="CE51" s="166">
        <v>211.76111111111112</v>
      </c>
      <c r="CF51" s="166">
        <v>192.44444444444446</v>
      </c>
      <c r="CG51" s="166">
        <v>140.30555555555554</v>
      </c>
      <c r="CH51" s="166">
        <v>155.71666666666667</v>
      </c>
      <c r="CI51" s="166">
        <v>150.9388888888889</v>
      </c>
      <c r="CJ51" s="166">
        <v>96.105555555555554</v>
      </c>
      <c r="CK51" s="166">
        <v>70.611111111111114</v>
      </c>
      <c r="CL51" s="166">
        <v>66.2</v>
      </c>
      <c r="CM51" s="166">
        <v>39.977777777777774</v>
      </c>
      <c r="CN51" s="166">
        <v>1261.3444444444444</v>
      </c>
      <c r="CO51" s="166">
        <v>306.65555555555557</v>
      </c>
      <c r="CP51" s="166">
        <v>272.89444444444445</v>
      </c>
      <c r="CQ51" s="166">
        <v>1852.1333333333332</v>
      </c>
      <c r="CR51" s="166">
        <v>1840.8944444444446</v>
      </c>
      <c r="CS51" s="166">
        <v>2125.0277777777774</v>
      </c>
      <c r="CT51" s="166">
        <v>291.7</v>
      </c>
      <c r="CU51" s="166">
        <v>9.0833333333333304</v>
      </c>
      <c r="CV51" s="166">
        <v>300.7833333333333</v>
      </c>
      <c r="CW51" s="166">
        <v>2134.1111111111109</v>
      </c>
      <c r="CX51" s="166">
        <v>0</v>
      </c>
      <c r="CY51" s="166">
        <v>258</v>
      </c>
      <c r="CZ51" s="165">
        <v>7</v>
      </c>
      <c r="DA51" s="165">
        <v>265</v>
      </c>
      <c r="DB51" s="165">
        <v>244</v>
      </c>
      <c r="DC51" s="165">
        <v>249</v>
      </c>
      <c r="DD51" s="165">
        <v>231</v>
      </c>
      <c r="DE51" s="165">
        <v>232</v>
      </c>
      <c r="DF51" s="165">
        <v>213</v>
      </c>
      <c r="DG51" s="165">
        <v>154</v>
      </c>
      <c r="DH51" s="165">
        <v>132</v>
      </c>
      <c r="DI51" s="165">
        <v>143</v>
      </c>
      <c r="DJ51" s="165">
        <v>101</v>
      </c>
      <c r="DK51" s="165">
        <v>73</v>
      </c>
      <c r="DL51" s="165">
        <v>57</v>
      </c>
      <c r="DM51" s="165">
        <v>64</v>
      </c>
      <c r="DN51" s="165">
        <v>1323</v>
      </c>
      <c r="DO51" s="165">
        <v>275</v>
      </c>
      <c r="DP51" s="165">
        <v>295</v>
      </c>
      <c r="DQ51" s="165">
        <v>1863</v>
      </c>
      <c r="DR51" s="165">
        <v>1893</v>
      </c>
      <c r="DS51" s="165">
        <v>2158</v>
      </c>
      <c r="DT51" s="165">
        <v>5</v>
      </c>
      <c r="DU51" s="165">
        <v>749</v>
      </c>
      <c r="DV51" s="165">
        <v>277</v>
      </c>
      <c r="DW51" s="165">
        <v>3</v>
      </c>
      <c r="DX51" s="165">
        <v>280</v>
      </c>
      <c r="DY51" s="165">
        <v>2161</v>
      </c>
      <c r="DZ51" s="165">
        <v>289</v>
      </c>
      <c r="EA51" s="166">
        <v>147.35</v>
      </c>
      <c r="EB51" s="166">
        <v>138.94</v>
      </c>
      <c r="EC51" s="166">
        <v>87.64</v>
      </c>
      <c r="ED51" s="166">
        <v>39.469999999999985</v>
      </c>
      <c r="EE51" s="166">
        <v>0</v>
      </c>
      <c r="EF51" s="166">
        <v>154</v>
      </c>
      <c r="EG51" s="167">
        <v>6.5225020644095466E-2</v>
      </c>
      <c r="EH51" s="165"/>
      <c r="EI51" s="165">
        <v>243</v>
      </c>
      <c r="EJ51" s="165">
        <v>1910</v>
      </c>
      <c r="EK51" s="165">
        <v>1364</v>
      </c>
      <c r="EL51" s="165">
        <v>292</v>
      </c>
      <c r="EM51" s="165">
        <v>254</v>
      </c>
      <c r="EN51" s="165">
        <v>2153</v>
      </c>
      <c r="EO51" s="165">
        <v>0</v>
      </c>
      <c r="EP51" s="165">
        <v>281</v>
      </c>
      <c r="EQ51" s="165">
        <v>281</v>
      </c>
      <c r="ER51" s="165">
        <v>279</v>
      </c>
      <c r="ES51" s="165">
        <v>2</v>
      </c>
      <c r="ET51" s="165">
        <v>80</v>
      </c>
      <c r="EU51" s="166">
        <v>57.85</v>
      </c>
      <c r="EV51" s="166">
        <v>1.5</v>
      </c>
      <c r="EW51" s="166">
        <v>7.7</v>
      </c>
      <c r="EX51" s="166">
        <v>6.7</v>
      </c>
      <c r="EY51" s="166">
        <v>31.2</v>
      </c>
      <c r="EZ51" s="166">
        <v>104.95</v>
      </c>
      <c r="FA51" s="166">
        <v>10</v>
      </c>
      <c r="FB51" s="166">
        <v>247.94444444444446</v>
      </c>
      <c r="FC51" s="166">
        <v>257.94444444444446</v>
      </c>
      <c r="FD51" s="166">
        <v>243.41666666666666</v>
      </c>
      <c r="FE51" s="166">
        <v>246.13333333333333</v>
      </c>
      <c r="FF51" s="166">
        <v>224.57777777777778</v>
      </c>
      <c r="FG51" s="166">
        <v>230.8111111111111</v>
      </c>
      <c r="FH51" s="166">
        <v>207.64444444444445</v>
      </c>
      <c r="FI51" s="166">
        <v>149.27222222222221</v>
      </c>
      <c r="FJ51" s="166">
        <v>133.53333333333333</v>
      </c>
      <c r="FK51" s="166">
        <v>143.9388888888889</v>
      </c>
      <c r="FL51" s="166">
        <v>97.205555555555549</v>
      </c>
      <c r="FM51" s="166">
        <v>74.061111111111117</v>
      </c>
      <c r="FN51" s="166">
        <v>58.8</v>
      </c>
      <c r="FO51" s="166">
        <v>63.011111111111113</v>
      </c>
      <c r="FP51" s="166">
        <v>1301.8555555555554</v>
      </c>
      <c r="FQ51" s="166">
        <v>277.47222222222223</v>
      </c>
      <c r="FR51" s="166">
        <v>293.07777777777778</v>
      </c>
      <c r="FS51" s="166">
        <v>1837.2722222222219</v>
      </c>
      <c r="FT51" s="166">
        <v>1872.4055555555553</v>
      </c>
      <c r="FU51" s="166">
        <v>2130.3499999999995</v>
      </c>
      <c r="FV51" s="166">
        <v>279.06111111111113</v>
      </c>
      <c r="FW51" s="166">
        <v>2.7833333333333332</v>
      </c>
      <c r="FX51" s="166">
        <v>281.84444444444449</v>
      </c>
      <c r="FY51" s="166">
        <v>2133.1333333333328</v>
      </c>
      <c r="FZ51" s="165">
        <v>4</v>
      </c>
      <c r="GA51" s="165">
        <v>244</v>
      </c>
      <c r="GB51" s="165">
        <v>248</v>
      </c>
      <c r="GC51" s="165">
        <v>249</v>
      </c>
      <c r="GD51" s="165">
        <v>229</v>
      </c>
      <c r="GE51" s="165">
        <v>251</v>
      </c>
      <c r="GF51" s="165">
        <v>216</v>
      </c>
      <c r="GG51" s="165">
        <v>221</v>
      </c>
      <c r="GH51" s="165">
        <v>175</v>
      </c>
      <c r="GI51" s="165">
        <v>130</v>
      </c>
      <c r="GJ51" s="165">
        <v>121</v>
      </c>
      <c r="GK51" s="165">
        <v>102</v>
      </c>
      <c r="GL51" s="165">
        <v>74</v>
      </c>
      <c r="GM51" s="165">
        <v>68</v>
      </c>
      <c r="GN51" s="165">
        <v>61</v>
      </c>
      <c r="GO51" s="165">
        <v>1341</v>
      </c>
      <c r="GP51" s="165">
        <v>251</v>
      </c>
      <c r="GQ51" s="165">
        <v>305</v>
      </c>
      <c r="GR51" s="165">
        <v>1840</v>
      </c>
      <c r="GS51" s="165">
        <v>1897</v>
      </c>
      <c r="GT51" s="165">
        <v>2145</v>
      </c>
      <c r="GU51" s="165">
        <v>8</v>
      </c>
      <c r="GV51" s="165">
        <v>864</v>
      </c>
      <c r="GW51" s="165">
        <v>257</v>
      </c>
      <c r="GX51" s="165">
        <v>5</v>
      </c>
      <c r="GY51" s="165">
        <v>262</v>
      </c>
      <c r="GZ51" s="165">
        <v>2150</v>
      </c>
      <c r="HA51" s="165">
        <v>285</v>
      </c>
      <c r="HB51" s="166">
        <v>135.45999999999998</v>
      </c>
      <c r="HC51" s="166">
        <v>127.94</v>
      </c>
      <c r="HD51" s="166">
        <v>77.989999999999995</v>
      </c>
      <c r="HE51" s="166">
        <v>37.85799999999999</v>
      </c>
      <c r="HF51" s="166"/>
      <c r="HG51" s="166">
        <v>142.61000000000001</v>
      </c>
      <c r="HH51" s="166">
        <v>0</v>
      </c>
      <c r="HI51" s="166">
        <v>259</v>
      </c>
      <c r="HJ51" s="166">
        <v>259</v>
      </c>
      <c r="HK51" s="166">
        <v>257</v>
      </c>
      <c r="HL51" s="166">
        <v>2</v>
      </c>
      <c r="HM51" s="166">
        <v>63</v>
      </c>
      <c r="HN51" s="166">
        <v>278</v>
      </c>
      <c r="HO51" s="166">
        <v>1898</v>
      </c>
      <c r="HP51" s="166">
        <v>1328</v>
      </c>
      <c r="HQ51" s="166">
        <v>275</v>
      </c>
      <c r="HR51" s="166">
        <v>295</v>
      </c>
      <c r="HS51" s="166">
        <v>2176</v>
      </c>
      <c r="HT51" s="166">
        <f>FY26_FE_Data_April15[[#This Row],[Oct 1, 2026 (CDC) - K]]+FY26_FE_Data_April15[[#This Row],[Oct 1, 2026 (CDC) - Grades 1-6]]+FY26_FE_Data_April15[[#This Row],[Oct 1, 2026 (CDC) - Grades 7-8]]</f>
        <v>1881</v>
      </c>
      <c r="HU51" s="166">
        <v>0</v>
      </c>
      <c r="HW51" s="170"/>
      <c r="HY51" s="170"/>
    </row>
    <row r="52" spans="1:233">
      <c r="A52" s="158">
        <v>83</v>
      </c>
      <c r="B52" s="159" t="s">
        <v>379</v>
      </c>
      <c r="C52" s="160" t="s">
        <v>380</v>
      </c>
      <c r="D52" s="160" t="s">
        <v>139</v>
      </c>
      <c r="E52" s="159" t="s">
        <v>784</v>
      </c>
      <c r="F52" s="159" t="s">
        <v>784</v>
      </c>
      <c r="G52" s="159"/>
      <c r="H52" s="161">
        <v>30.672222222222221</v>
      </c>
      <c r="I52" s="161">
        <v>0</v>
      </c>
      <c r="J52" s="161">
        <v>30.672222222222221</v>
      </c>
      <c r="K52" s="162">
        <v>0</v>
      </c>
      <c r="L52" s="162">
        <v>0</v>
      </c>
      <c r="M52" s="162">
        <v>0</v>
      </c>
      <c r="N52" s="162">
        <v>454</v>
      </c>
      <c r="O52" s="162">
        <v>454</v>
      </c>
      <c r="P52" s="162">
        <v>454</v>
      </c>
      <c r="Q52" s="162">
        <v>0</v>
      </c>
      <c r="R52" s="162">
        <v>0</v>
      </c>
      <c r="S52" s="160">
        <v>0</v>
      </c>
      <c r="T52" s="160">
        <v>0</v>
      </c>
      <c r="U52" s="160">
        <v>0</v>
      </c>
      <c r="V52" s="160">
        <v>0</v>
      </c>
      <c r="W52" s="160">
        <v>0</v>
      </c>
      <c r="X52" s="160">
        <v>0</v>
      </c>
      <c r="Y52" s="160">
        <v>0</v>
      </c>
      <c r="Z52" s="160">
        <v>0</v>
      </c>
      <c r="AA52" s="160">
        <v>0</v>
      </c>
      <c r="AB52" s="160">
        <v>117.66111111111111</v>
      </c>
      <c r="AC52" s="160">
        <v>124.45</v>
      </c>
      <c r="AD52" s="160">
        <v>108.7</v>
      </c>
      <c r="AE52" s="160">
        <v>102.47222222222223</v>
      </c>
      <c r="AF52" s="160">
        <v>0</v>
      </c>
      <c r="AG52" s="160">
        <v>0</v>
      </c>
      <c r="AH52" s="160">
        <v>453.28333333333336</v>
      </c>
      <c r="AI52" s="160">
        <v>0</v>
      </c>
      <c r="AJ52" s="160">
        <v>453.28333333333336</v>
      </c>
      <c r="AK52" s="160">
        <v>453.28333333333336</v>
      </c>
      <c r="AL52" s="161">
        <v>28.227777777777778</v>
      </c>
      <c r="AM52" s="161">
        <v>0</v>
      </c>
      <c r="AN52" s="161">
        <v>28.227777777777778</v>
      </c>
      <c r="AO52" s="161">
        <v>453.28333333333336</v>
      </c>
      <c r="AP52" s="162">
        <v>0</v>
      </c>
      <c r="AQ52" s="168">
        <v>0</v>
      </c>
      <c r="AR52" s="160">
        <v>0</v>
      </c>
      <c r="AS52" s="160">
        <v>0</v>
      </c>
      <c r="AT52" s="160">
        <v>0</v>
      </c>
      <c r="AU52" s="160">
        <v>0</v>
      </c>
      <c r="AV52" s="160">
        <v>0</v>
      </c>
      <c r="AW52" s="160">
        <v>0</v>
      </c>
      <c r="AX52" s="160">
        <v>0</v>
      </c>
      <c r="AY52" s="160">
        <v>122</v>
      </c>
      <c r="AZ52" s="160">
        <v>119</v>
      </c>
      <c r="BA52" s="160">
        <v>126</v>
      </c>
      <c r="BB52" s="160">
        <v>102</v>
      </c>
      <c r="BC52" s="160">
        <v>0</v>
      </c>
      <c r="BD52" s="160">
        <v>0</v>
      </c>
      <c r="BE52" s="160">
        <v>469</v>
      </c>
      <c r="BF52" s="160">
        <v>0</v>
      </c>
      <c r="BG52" s="160">
        <v>469</v>
      </c>
      <c r="BH52" s="160">
        <v>469</v>
      </c>
      <c r="BI52" s="160">
        <v>0</v>
      </c>
      <c r="BJ52" s="160">
        <v>0</v>
      </c>
      <c r="BK52" s="160">
        <v>0</v>
      </c>
      <c r="BL52" s="160">
        <v>81</v>
      </c>
      <c r="BM52" s="160">
        <v>35</v>
      </c>
      <c r="BN52" s="162">
        <v>0</v>
      </c>
      <c r="BO52" s="162">
        <v>35</v>
      </c>
      <c r="BP52" s="162">
        <v>19</v>
      </c>
      <c r="BQ52" s="163">
        <v>9.3934396105748053E-2</v>
      </c>
      <c r="BR52" s="164">
        <v>26</v>
      </c>
      <c r="BS52" s="164">
        <v>24</v>
      </c>
      <c r="BT52" s="164">
        <v>24</v>
      </c>
      <c r="BU52" s="164">
        <v>26</v>
      </c>
      <c r="BV52" s="165">
        <v>0</v>
      </c>
      <c r="BW52" s="165">
        <v>0</v>
      </c>
      <c r="BX52" s="166">
        <v>0</v>
      </c>
      <c r="BY52" s="166">
        <v>0</v>
      </c>
      <c r="BZ52" s="166">
        <v>0</v>
      </c>
      <c r="CA52" s="166">
        <v>0</v>
      </c>
      <c r="CB52" s="166">
        <v>0</v>
      </c>
      <c r="CC52" s="166">
        <v>0</v>
      </c>
      <c r="CD52" s="166">
        <v>0</v>
      </c>
      <c r="CE52" s="166">
        <v>0</v>
      </c>
      <c r="CF52" s="166">
        <v>0</v>
      </c>
      <c r="CG52" s="166">
        <v>0</v>
      </c>
      <c r="CH52" s="166">
        <v>0</v>
      </c>
      <c r="CI52" s="166">
        <v>0</v>
      </c>
      <c r="CJ52" s="166">
        <v>120.35</v>
      </c>
      <c r="CK52" s="166">
        <v>118.85555555555555</v>
      </c>
      <c r="CL52" s="166">
        <v>124.87777777777778</v>
      </c>
      <c r="CM52" s="166">
        <v>100.96111111111111</v>
      </c>
      <c r="CN52" s="166">
        <v>0</v>
      </c>
      <c r="CO52" s="166">
        <v>0</v>
      </c>
      <c r="CP52" s="166">
        <v>465.04444444444442</v>
      </c>
      <c r="CQ52" s="166">
        <v>0</v>
      </c>
      <c r="CR52" s="166">
        <v>465.04444444444442</v>
      </c>
      <c r="CS52" s="166">
        <v>465.04444444444442</v>
      </c>
      <c r="CT52" s="166">
        <v>36.311111111111103</v>
      </c>
      <c r="CU52" s="166">
        <v>0</v>
      </c>
      <c r="CV52" s="166">
        <v>36.311111111111103</v>
      </c>
      <c r="CW52" s="166">
        <v>465.04444444444442</v>
      </c>
      <c r="CX52" s="166">
        <v>0</v>
      </c>
      <c r="CY52" s="166">
        <v>0</v>
      </c>
      <c r="CZ52" s="165">
        <v>0</v>
      </c>
      <c r="DA52" s="165">
        <v>0</v>
      </c>
      <c r="DB52" s="165">
        <v>0</v>
      </c>
      <c r="DC52" s="165">
        <v>0</v>
      </c>
      <c r="DD52" s="165">
        <v>0</v>
      </c>
      <c r="DE52" s="165">
        <v>0</v>
      </c>
      <c r="DF52" s="165">
        <v>0</v>
      </c>
      <c r="DG52" s="165">
        <v>0</v>
      </c>
      <c r="DH52" s="165">
        <v>0</v>
      </c>
      <c r="DI52" s="165">
        <v>0</v>
      </c>
      <c r="DJ52" s="165">
        <v>112</v>
      </c>
      <c r="DK52" s="165">
        <v>121</v>
      </c>
      <c r="DL52" s="165">
        <v>112</v>
      </c>
      <c r="DM52" s="165">
        <v>113</v>
      </c>
      <c r="DN52" s="165">
        <v>0</v>
      </c>
      <c r="DO52" s="165">
        <v>0</v>
      </c>
      <c r="DP52" s="165">
        <v>458</v>
      </c>
      <c r="DQ52" s="165">
        <v>0</v>
      </c>
      <c r="DR52" s="165">
        <v>458</v>
      </c>
      <c r="DS52" s="165">
        <v>458</v>
      </c>
      <c r="DT52" s="165">
        <v>0</v>
      </c>
      <c r="DU52" s="165">
        <v>88</v>
      </c>
      <c r="DV52" s="165">
        <v>41</v>
      </c>
      <c r="DW52" s="165">
        <v>1</v>
      </c>
      <c r="DX52" s="165">
        <v>42</v>
      </c>
      <c r="DY52" s="165">
        <v>459</v>
      </c>
      <c r="DZ52" s="165">
        <v>26</v>
      </c>
      <c r="EA52" s="166">
        <v>26.5</v>
      </c>
      <c r="EB52" s="166">
        <v>24.5</v>
      </c>
      <c r="EC52" s="166">
        <v>0.17</v>
      </c>
      <c r="ED52" s="166">
        <v>22.189999999999998</v>
      </c>
      <c r="EE52" s="166">
        <v>0</v>
      </c>
      <c r="EF52" s="166">
        <v>26.5</v>
      </c>
      <c r="EG52" s="167">
        <v>9.7170441949134823E-2</v>
      </c>
      <c r="EH52" s="165"/>
      <c r="EI52" s="165">
        <v>0</v>
      </c>
      <c r="EJ52" s="165">
        <v>454</v>
      </c>
      <c r="EK52" s="165">
        <v>0</v>
      </c>
      <c r="EL52" s="165">
        <v>0</v>
      </c>
      <c r="EM52" s="165">
        <v>454</v>
      </c>
      <c r="EN52" s="165">
        <v>454</v>
      </c>
      <c r="EO52" s="165">
        <v>0</v>
      </c>
      <c r="EP52" s="165">
        <v>42</v>
      </c>
      <c r="EQ52" s="165">
        <v>42</v>
      </c>
      <c r="ER52" s="165">
        <v>41</v>
      </c>
      <c r="ES52" s="165">
        <v>1</v>
      </c>
      <c r="ET52" s="165">
        <v>1</v>
      </c>
      <c r="EU52" s="166">
        <v>0</v>
      </c>
      <c r="EV52" s="166">
        <v>0</v>
      </c>
      <c r="EW52" s="166">
        <v>4</v>
      </c>
      <c r="EX52" s="166">
        <v>1</v>
      </c>
      <c r="EY52" s="166">
        <v>0</v>
      </c>
      <c r="EZ52" s="166">
        <v>5</v>
      </c>
      <c r="FA52" s="166">
        <v>0</v>
      </c>
      <c r="FB52" s="166">
        <v>0</v>
      </c>
      <c r="FC52" s="166">
        <v>0</v>
      </c>
      <c r="FD52" s="166">
        <v>0</v>
      </c>
      <c r="FE52" s="166">
        <v>0</v>
      </c>
      <c r="FF52" s="166">
        <v>0</v>
      </c>
      <c r="FG52" s="166">
        <v>0</v>
      </c>
      <c r="FH52" s="166">
        <v>0</v>
      </c>
      <c r="FI52" s="166">
        <v>0</v>
      </c>
      <c r="FJ52" s="166">
        <v>0</v>
      </c>
      <c r="FK52" s="166">
        <v>0</v>
      </c>
      <c r="FL52" s="166">
        <v>111.51111111111111</v>
      </c>
      <c r="FM52" s="166">
        <v>121.58333333333333</v>
      </c>
      <c r="FN52" s="166">
        <v>111.92777777777778</v>
      </c>
      <c r="FO52" s="166">
        <v>112.52222222222223</v>
      </c>
      <c r="FP52" s="166">
        <v>0</v>
      </c>
      <c r="FQ52" s="166">
        <v>0</v>
      </c>
      <c r="FR52" s="166">
        <v>457.54444444444448</v>
      </c>
      <c r="FS52" s="166">
        <v>0</v>
      </c>
      <c r="FT52" s="166">
        <v>457.54444444444448</v>
      </c>
      <c r="FU52" s="166">
        <v>457.54444444444448</v>
      </c>
      <c r="FV52" s="166">
        <v>41.366666666666667</v>
      </c>
      <c r="FW52" s="166">
        <v>1</v>
      </c>
      <c r="FX52" s="166">
        <v>42.366666666666667</v>
      </c>
      <c r="FY52" s="166">
        <v>458.54444444444448</v>
      </c>
      <c r="FZ52" s="165">
        <v>0</v>
      </c>
      <c r="GA52" s="165">
        <v>0</v>
      </c>
      <c r="GB52" s="165">
        <v>0</v>
      </c>
      <c r="GC52" s="165">
        <v>0</v>
      </c>
      <c r="GD52" s="165">
        <v>0</v>
      </c>
      <c r="GE52" s="165">
        <v>0</v>
      </c>
      <c r="GF52" s="165">
        <v>0</v>
      </c>
      <c r="GG52" s="165">
        <v>0</v>
      </c>
      <c r="GH52" s="165">
        <v>0</v>
      </c>
      <c r="GI52" s="165">
        <v>0</v>
      </c>
      <c r="GJ52" s="165">
        <v>0</v>
      </c>
      <c r="GK52" s="165">
        <v>131</v>
      </c>
      <c r="GL52" s="165">
        <v>115</v>
      </c>
      <c r="GM52" s="165">
        <v>110</v>
      </c>
      <c r="GN52" s="165">
        <v>110</v>
      </c>
      <c r="GO52" s="165">
        <v>0</v>
      </c>
      <c r="GP52" s="165">
        <v>0</v>
      </c>
      <c r="GQ52" s="165">
        <v>466</v>
      </c>
      <c r="GR52" s="165">
        <v>0</v>
      </c>
      <c r="GS52" s="165">
        <v>466</v>
      </c>
      <c r="GT52" s="165">
        <v>466</v>
      </c>
      <c r="GU52" s="165">
        <v>0</v>
      </c>
      <c r="GV52" s="165">
        <v>99</v>
      </c>
      <c r="GW52" s="165">
        <v>39</v>
      </c>
      <c r="GX52" s="165">
        <v>1</v>
      </c>
      <c r="GY52" s="165">
        <v>40</v>
      </c>
      <c r="GZ52" s="165">
        <v>467</v>
      </c>
      <c r="HA52" s="165">
        <v>27</v>
      </c>
      <c r="HB52" s="166">
        <v>25.07</v>
      </c>
      <c r="HC52" s="166">
        <v>23.07</v>
      </c>
      <c r="HD52" s="166">
        <v>0</v>
      </c>
      <c r="HE52" s="166">
        <v>19.75</v>
      </c>
      <c r="HF52" s="166"/>
      <c r="HG52" s="166">
        <v>25</v>
      </c>
      <c r="HH52" s="166">
        <v>0</v>
      </c>
      <c r="HI52" s="166">
        <v>40</v>
      </c>
      <c r="HJ52" s="166">
        <v>40</v>
      </c>
      <c r="HK52" s="166">
        <v>39</v>
      </c>
      <c r="HL52" s="166">
        <v>1</v>
      </c>
      <c r="HM52" s="166">
        <v>1</v>
      </c>
      <c r="HN52" s="166">
        <v>0</v>
      </c>
      <c r="HO52" s="166">
        <v>466</v>
      </c>
      <c r="HP52" s="166">
        <v>0</v>
      </c>
      <c r="HQ52" s="166">
        <v>0</v>
      </c>
      <c r="HR52" s="166">
        <v>466</v>
      </c>
      <c r="HS52" s="166">
        <v>466</v>
      </c>
      <c r="HT52" s="166">
        <f>FY26_FE_Data_April15[[#This Row],[Oct 1, 2026 (CDC) - K]]+FY26_FE_Data_April15[[#This Row],[Oct 1, 2026 (CDC) - Grades 1-6]]+FY26_FE_Data_April15[[#This Row],[Oct 1, 2026 (CDC) - Grades 7-8]]</f>
        <v>0</v>
      </c>
      <c r="HU52" s="166">
        <v>0</v>
      </c>
      <c r="HW52" s="170"/>
      <c r="HY52" s="170"/>
    </row>
    <row r="53" spans="1:233" ht="39">
      <c r="A53" s="158">
        <v>86</v>
      </c>
      <c r="B53" s="159" t="s">
        <v>381</v>
      </c>
      <c r="C53" s="160" t="s">
        <v>382</v>
      </c>
      <c r="D53" s="160" t="s">
        <v>139</v>
      </c>
      <c r="E53" s="159" t="s">
        <v>784</v>
      </c>
      <c r="F53" s="159" t="s">
        <v>784</v>
      </c>
      <c r="G53" s="159"/>
      <c r="H53" s="161">
        <v>92.027777777777771</v>
      </c>
      <c r="I53" s="161">
        <v>46.666666666666664</v>
      </c>
      <c r="J53" s="161">
        <v>138.69444444444443</v>
      </c>
      <c r="K53" s="162">
        <v>25</v>
      </c>
      <c r="L53" s="162">
        <v>170</v>
      </c>
      <c r="M53" s="162">
        <v>61</v>
      </c>
      <c r="N53" s="162">
        <v>152</v>
      </c>
      <c r="O53" s="162">
        <v>408</v>
      </c>
      <c r="P53" s="162">
        <v>383</v>
      </c>
      <c r="Q53" s="162">
        <v>256</v>
      </c>
      <c r="R53" s="162">
        <v>41</v>
      </c>
      <c r="S53" s="160">
        <v>16.238888888888887</v>
      </c>
      <c r="T53" s="160">
        <v>26.833333333333332</v>
      </c>
      <c r="U53" s="160">
        <v>18.111111111111111</v>
      </c>
      <c r="V53" s="160">
        <v>30.155555555555555</v>
      </c>
      <c r="W53" s="160">
        <v>21.588888888888889</v>
      </c>
      <c r="X53" s="160">
        <v>33.394444444444446</v>
      </c>
      <c r="Y53" s="160">
        <v>25.283333333333335</v>
      </c>
      <c r="Z53" s="160">
        <v>19.43888888888889</v>
      </c>
      <c r="AA53" s="160">
        <v>30.816666666666666</v>
      </c>
      <c r="AB53" s="160">
        <v>36.916666666666664</v>
      </c>
      <c r="AC53" s="160">
        <v>36.266666666666666</v>
      </c>
      <c r="AD53" s="160">
        <v>24.155555555555555</v>
      </c>
      <c r="AE53" s="160">
        <v>37.261111111111113</v>
      </c>
      <c r="AF53" s="160">
        <v>155.36666666666665</v>
      </c>
      <c r="AG53" s="160">
        <v>50.25555555555556</v>
      </c>
      <c r="AH53" s="160">
        <v>134.6</v>
      </c>
      <c r="AI53" s="160">
        <v>221.86111111111111</v>
      </c>
      <c r="AJ53" s="160">
        <v>340.22222222222223</v>
      </c>
      <c r="AK53" s="160">
        <v>356.46111111111111</v>
      </c>
      <c r="AL53" s="161">
        <v>85.738888888888894</v>
      </c>
      <c r="AM53" s="161">
        <v>41.65</v>
      </c>
      <c r="AN53" s="161">
        <v>127.38888888888889</v>
      </c>
      <c r="AO53" s="161">
        <v>398.11111111111109</v>
      </c>
      <c r="AP53" s="162">
        <v>18</v>
      </c>
      <c r="AQ53" s="168">
        <v>18</v>
      </c>
      <c r="AR53" s="160">
        <v>32</v>
      </c>
      <c r="AS53" s="160">
        <v>19</v>
      </c>
      <c r="AT53" s="160">
        <v>31</v>
      </c>
      <c r="AU53" s="160">
        <v>28</v>
      </c>
      <c r="AV53" s="160">
        <v>36</v>
      </c>
      <c r="AW53" s="160">
        <v>31</v>
      </c>
      <c r="AX53" s="160">
        <v>28</v>
      </c>
      <c r="AY53" s="160">
        <v>35</v>
      </c>
      <c r="AZ53" s="160">
        <v>43</v>
      </c>
      <c r="BA53" s="160">
        <v>40</v>
      </c>
      <c r="BB53" s="160">
        <v>23</v>
      </c>
      <c r="BC53" s="160">
        <v>164</v>
      </c>
      <c r="BD53" s="160">
        <v>59</v>
      </c>
      <c r="BE53" s="160">
        <v>141</v>
      </c>
      <c r="BF53" s="160">
        <v>241</v>
      </c>
      <c r="BG53" s="160">
        <v>364</v>
      </c>
      <c r="BH53" s="160">
        <v>382</v>
      </c>
      <c r="BI53" s="160">
        <v>18</v>
      </c>
      <c r="BJ53" s="160">
        <v>0</v>
      </c>
      <c r="BK53" s="160">
        <v>0</v>
      </c>
      <c r="BL53" s="160">
        <v>261</v>
      </c>
      <c r="BM53" s="160">
        <v>87</v>
      </c>
      <c r="BN53" s="162">
        <v>30</v>
      </c>
      <c r="BO53" s="162">
        <v>117</v>
      </c>
      <c r="BP53" s="162">
        <v>0</v>
      </c>
      <c r="BQ53" s="163">
        <v>7.4126857034967408E-2</v>
      </c>
      <c r="BR53" s="164">
        <v>27.186499999999999</v>
      </c>
      <c r="BS53" s="164">
        <v>25.797499999999999</v>
      </c>
      <c r="BT53" s="164">
        <v>22.325500000000002</v>
      </c>
      <c r="BU53" s="164">
        <v>29.742499999999996</v>
      </c>
      <c r="BV53" s="165">
        <v>0</v>
      </c>
      <c r="BW53" s="165">
        <v>0</v>
      </c>
      <c r="BX53" s="166">
        <v>0</v>
      </c>
      <c r="BY53" s="166">
        <v>1.2611110000000001</v>
      </c>
      <c r="BZ53" s="166">
        <v>16.411110999999998</v>
      </c>
      <c r="CA53" s="166">
        <v>17.672222222222221</v>
      </c>
      <c r="CB53" s="166">
        <v>17.266666666666666</v>
      </c>
      <c r="CC53" s="166">
        <v>27.85</v>
      </c>
      <c r="CD53" s="166">
        <v>18.394444444444446</v>
      </c>
      <c r="CE53" s="166">
        <v>31.066666666666666</v>
      </c>
      <c r="CF53" s="166">
        <v>23.927777777777777</v>
      </c>
      <c r="CG53" s="166">
        <v>32.016666666666666</v>
      </c>
      <c r="CH53" s="166">
        <v>22.677777777777777</v>
      </c>
      <c r="CI53" s="166">
        <v>23.888888888888889</v>
      </c>
      <c r="CJ53" s="166">
        <v>33.450000000000003</v>
      </c>
      <c r="CK53" s="166">
        <v>37</v>
      </c>
      <c r="CL53" s="166">
        <v>36.511111111111113</v>
      </c>
      <c r="CM53" s="166">
        <v>21.511111111111113</v>
      </c>
      <c r="CN53" s="166">
        <v>150.52222222222224</v>
      </c>
      <c r="CO53" s="166">
        <v>46.566666666666663</v>
      </c>
      <c r="CP53" s="166">
        <v>128.47222222222223</v>
      </c>
      <c r="CQ53" s="166">
        <v>214.76111111111112</v>
      </c>
      <c r="CR53" s="166">
        <v>325.56111111111113</v>
      </c>
      <c r="CS53" s="166">
        <v>343.23333333333335</v>
      </c>
      <c r="CT53" s="166">
        <v>83.35</v>
      </c>
      <c r="CU53" s="166">
        <v>28.466666666666701</v>
      </c>
      <c r="CV53" s="166">
        <v>111.81666666666669</v>
      </c>
      <c r="CW53" s="166">
        <v>371.70000000000005</v>
      </c>
      <c r="CX53" s="166">
        <v>0</v>
      </c>
      <c r="CY53" s="166">
        <v>22</v>
      </c>
      <c r="CZ53" s="165">
        <v>0</v>
      </c>
      <c r="DA53" s="165">
        <v>22</v>
      </c>
      <c r="DB53" s="165">
        <v>15</v>
      </c>
      <c r="DC53" s="165">
        <v>20</v>
      </c>
      <c r="DD53" s="165">
        <v>25</v>
      </c>
      <c r="DE53" s="165">
        <v>18</v>
      </c>
      <c r="DF53" s="165">
        <v>29</v>
      </c>
      <c r="DG53" s="165">
        <v>27</v>
      </c>
      <c r="DH53" s="165">
        <v>34</v>
      </c>
      <c r="DI53" s="165">
        <v>27</v>
      </c>
      <c r="DJ53" s="165">
        <v>30</v>
      </c>
      <c r="DK53" s="165">
        <v>35</v>
      </c>
      <c r="DL53" s="165">
        <v>38</v>
      </c>
      <c r="DM53" s="165">
        <v>29</v>
      </c>
      <c r="DN53" s="165">
        <v>134</v>
      </c>
      <c r="DO53" s="165">
        <v>61</v>
      </c>
      <c r="DP53" s="165">
        <v>132</v>
      </c>
      <c r="DQ53" s="165">
        <v>217</v>
      </c>
      <c r="DR53" s="165">
        <v>327</v>
      </c>
      <c r="DS53" s="165">
        <v>349</v>
      </c>
      <c r="DT53" s="165">
        <v>0</v>
      </c>
      <c r="DU53" s="165">
        <v>261</v>
      </c>
      <c r="DV53" s="165">
        <v>67</v>
      </c>
      <c r="DW53" s="165">
        <v>35</v>
      </c>
      <c r="DX53" s="165">
        <v>102</v>
      </c>
      <c r="DY53" s="165">
        <v>384</v>
      </c>
      <c r="DZ53" s="165">
        <v>0</v>
      </c>
      <c r="EA53" s="166">
        <v>29.25</v>
      </c>
      <c r="EB53" s="166">
        <v>27.35</v>
      </c>
      <c r="EC53" s="166">
        <v>9.65</v>
      </c>
      <c r="ED53" s="166">
        <v>12.559999999999999</v>
      </c>
      <c r="EE53" s="166">
        <v>0.5</v>
      </c>
      <c r="EF53" s="166">
        <v>30.5</v>
      </c>
      <c r="EG53" s="167">
        <v>7.2083506401763142E-2</v>
      </c>
      <c r="EH53" s="165"/>
      <c r="EI53" s="165">
        <v>19</v>
      </c>
      <c r="EJ53" s="165">
        <v>329</v>
      </c>
      <c r="EK53" s="165">
        <v>124</v>
      </c>
      <c r="EL53" s="165">
        <v>53</v>
      </c>
      <c r="EM53" s="165">
        <v>152</v>
      </c>
      <c r="EN53" s="165">
        <v>348</v>
      </c>
      <c r="EO53" s="165">
        <v>1</v>
      </c>
      <c r="EP53" s="165">
        <v>97</v>
      </c>
      <c r="EQ53" s="165">
        <v>98</v>
      </c>
      <c r="ER53" s="165">
        <v>65</v>
      </c>
      <c r="ES53" s="165">
        <v>32</v>
      </c>
      <c r="ET53" s="165">
        <v>0</v>
      </c>
      <c r="EU53" s="166">
        <v>1</v>
      </c>
      <c r="EV53" s="166">
        <v>0</v>
      </c>
      <c r="EW53" s="166">
        <v>2</v>
      </c>
      <c r="EX53" s="166">
        <v>0</v>
      </c>
      <c r="EY53" s="166">
        <v>0</v>
      </c>
      <c r="EZ53" s="166">
        <v>3</v>
      </c>
      <c r="FA53" s="166">
        <v>0</v>
      </c>
      <c r="FB53" s="166">
        <v>21.961111111111112</v>
      </c>
      <c r="FC53" s="166">
        <v>21.961111111111112</v>
      </c>
      <c r="FD53" s="166">
        <v>13.416666666666666</v>
      </c>
      <c r="FE53" s="166">
        <v>18.966666666666665</v>
      </c>
      <c r="FF53" s="166">
        <v>24.15</v>
      </c>
      <c r="FG53" s="166">
        <v>17.172222222222221</v>
      </c>
      <c r="FH53" s="166">
        <v>24.133333333333333</v>
      </c>
      <c r="FI53" s="166">
        <v>23.211111111111112</v>
      </c>
      <c r="FJ53" s="166">
        <v>28.933333333333334</v>
      </c>
      <c r="FK53" s="166">
        <v>21.477777777777778</v>
      </c>
      <c r="FL53" s="166">
        <v>28.861111111111111</v>
      </c>
      <c r="FM53" s="166">
        <v>31.972222222222221</v>
      </c>
      <c r="FN53" s="166">
        <v>34.43888888888889</v>
      </c>
      <c r="FO53" s="166">
        <v>27.877777777777776</v>
      </c>
      <c r="FP53" s="166">
        <v>121.04999999999998</v>
      </c>
      <c r="FQ53" s="166">
        <v>50.411111111111111</v>
      </c>
      <c r="FR53" s="166">
        <v>123.14999999999999</v>
      </c>
      <c r="FS53" s="166">
        <v>193.42222222222222</v>
      </c>
      <c r="FT53" s="166">
        <v>294.61111111111114</v>
      </c>
      <c r="FU53" s="166">
        <v>316.57222222222225</v>
      </c>
      <c r="FV53" s="166">
        <v>68.961111111111109</v>
      </c>
      <c r="FW53" s="166">
        <v>33.62777777777778</v>
      </c>
      <c r="FX53" s="166">
        <v>102.58888888888889</v>
      </c>
      <c r="FY53" s="166">
        <v>350.20000000000005</v>
      </c>
      <c r="FZ53" s="165">
        <v>0</v>
      </c>
      <c r="GA53" s="165">
        <v>18</v>
      </c>
      <c r="GB53" s="165">
        <v>18</v>
      </c>
      <c r="GC53" s="165">
        <v>22</v>
      </c>
      <c r="GD53" s="165">
        <v>20</v>
      </c>
      <c r="GE53" s="165">
        <v>21</v>
      </c>
      <c r="GF53" s="165">
        <v>28</v>
      </c>
      <c r="GG53" s="165">
        <v>17</v>
      </c>
      <c r="GH53" s="165">
        <v>27</v>
      </c>
      <c r="GI53" s="165">
        <v>31</v>
      </c>
      <c r="GJ53" s="165">
        <v>37</v>
      </c>
      <c r="GK53" s="165">
        <v>31</v>
      </c>
      <c r="GL53" s="165">
        <v>38</v>
      </c>
      <c r="GM53" s="165">
        <v>34</v>
      </c>
      <c r="GN53" s="165">
        <v>34</v>
      </c>
      <c r="GO53" s="165">
        <v>135</v>
      </c>
      <c r="GP53" s="165">
        <v>68</v>
      </c>
      <c r="GQ53" s="165">
        <v>137</v>
      </c>
      <c r="GR53" s="165">
        <v>221</v>
      </c>
      <c r="GS53" s="165">
        <v>340</v>
      </c>
      <c r="GT53" s="165">
        <v>358</v>
      </c>
      <c r="GU53" s="165">
        <v>0</v>
      </c>
      <c r="GV53" s="165">
        <v>263</v>
      </c>
      <c r="GW53" s="165">
        <v>74</v>
      </c>
      <c r="GX53" s="165">
        <v>29</v>
      </c>
      <c r="GY53" s="165">
        <v>103</v>
      </c>
      <c r="GZ53" s="165">
        <v>387</v>
      </c>
      <c r="HA53" s="165">
        <v>0</v>
      </c>
      <c r="HB53" s="166">
        <v>25.25</v>
      </c>
      <c r="HC53" s="166">
        <v>23.25</v>
      </c>
      <c r="HD53" s="166">
        <v>8.82</v>
      </c>
      <c r="HE53" s="166">
        <v>11.19</v>
      </c>
      <c r="HF53" s="166"/>
      <c r="HG53" s="166">
        <v>26.5</v>
      </c>
      <c r="HH53" s="166">
        <v>0</v>
      </c>
      <c r="HI53" s="166">
        <v>104</v>
      </c>
      <c r="HJ53" s="166">
        <v>104</v>
      </c>
      <c r="HK53" s="166">
        <v>70</v>
      </c>
      <c r="HL53" s="166">
        <v>34</v>
      </c>
      <c r="HM53" s="166">
        <v>0</v>
      </c>
      <c r="HN53" s="166">
        <v>22</v>
      </c>
      <c r="HO53" s="166">
        <v>336</v>
      </c>
      <c r="HP53" s="166">
        <v>131</v>
      </c>
      <c r="HQ53" s="166">
        <v>63</v>
      </c>
      <c r="HR53" s="166">
        <v>142</v>
      </c>
      <c r="HS53" s="166">
        <v>358</v>
      </c>
      <c r="HT53" s="166">
        <f>FY26_FE_Data_April15[[#This Row],[Oct 1, 2026 (CDC) - K]]+FY26_FE_Data_April15[[#This Row],[Oct 1, 2026 (CDC) - Grades 1-6]]+FY26_FE_Data_April15[[#This Row],[Oct 1, 2026 (CDC) - Grades 7-8]]</f>
        <v>216</v>
      </c>
      <c r="HU53" s="166">
        <v>0</v>
      </c>
      <c r="HW53" s="170"/>
      <c r="HY53" s="170"/>
    </row>
    <row r="54" spans="1:233">
      <c r="A54" s="158">
        <v>87</v>
      </c>
      <c r="B54" s="159" t="s">
        <v>383</v>
      </c>
      <c r="C54" s="160" t="s">
        <v>384</v>
      </c>
      <c r="D54" s="160" t="s">
        <v>139</v>
      </c>
      <c r="E54" s="159" t="s">
        <v>784</v>
      </c>
      <c r="F54" s="159" t="s">
        <v>784</v>
      </c>
      <c r="G54" s="159"/>
      <c r="H54" s="161">
        <v>17.277777777777779</v>
      </c>
      <c r="I54" s="161">
        <v>3.5777777777777779</v>
      </c>
      <c r="J54" s="161">
        <v>20.855555555555558</v>
      </c>
      <c r="K54" s="162">
        <v>0</v>
      </c>
      <c r="L54" s="162">
        <v>0</v>
      </c>
      <c r="M54" s="162">
        <v>31</v>
      </c>
      <c r="N54" s="162">
        <v>86</v>
      </c>
      <c r="O54" s="162">
        <v>117</v>
      </c>
      <c r="P54" s="162">
        <v>117</v>
      </c>
      <c r="Q54" s="162">
        <v>31</v>
      </c>
      <c r="R54" s="162">
        <v>2</v>
      </c>
      <c r="S54" s="160">
        <v>0</v>
      </c>
      <c r="T54" s="160">
        <v>0</v>
      </c>
      <c r="U54" s="160">
        <v>0</v>
      </c>
      <c r="V54" s="160">
        <v>0</v>
      </c>
      <c r="W54" s="160">
        <v>0</v>
      </c>
      <c r="X54" s="160">
        <v>0</v>
      </c>
      <c r="Y54" s="160">
        <v>0</v>
      </c>
      <c r="Z54" s="160">
        <v>15.633333333333333</v>
      </c>
      <c r="AA54" s="160">
        <v>17.772222222222222</v>
      </c>
      <c r="AB54" s="160">
        <v>25.088888888888889</v>
      </c>
      <c r="AC54" s="160">
        <v>17.427777777777777</v>
      </c>
      <c r="AD54" s="160">
        <v>22.344444444444445</v>
      </c>
      <c r="AE54" s="160">
        <v>16.155555555555555</v>
      </c>
      <c r="AF54" s="160">
        <v>0</v>
      </c>
      <c r="AG54" s="160">
        <v>33.405555555555551</v>
      </c>
      <c r="AH54" s="160">
        <v>81.016666666666666</v>
      </c>
      <c r="AI54" s="160">
        <v>33.405555555555551</v>
      </c>
      <c r="AJ54" s="160">
        <v>114.42222222222222</v>
      </c>
      <c r="AK54" s="160">
        <v>114.42222222222222</v>
      </c>
      <c r="AL54" s="161">
        <v>21.494444444444444</v>
      </c>
      <c r="AM54" s="161">
        <v>2.9333333333333331</v>
      </c>
      <c r="AN54" s="161">
        <v>24.427777777777777</v>
      </c>
      <c r="AO54" s="161">
        <v>117.35555555555555</v>
      </c>
      <c r="AP54" s="162">
        <v>0</v>
      </c>
      <c r="AQ54" s="168">
        <v>0</v>
      </c>
      <c r="AR54" s="160">
        <v>0</v>
      </c>
      <c r="AS54" s="160">
        <v>0</v>
      </c>
      <c r="AT54" s="160">
        <v>0</v>
      </c>
      <c r="AU54" s="160">
        <v>0</v>
      </c>
      <c r="AV54" s="160">
        <v>0</v>
      </c>
      <c r="AW54" s="160">
        <v>12</v>
      </c>
      <c r="AX54" s="160">
        <v>17</v>
      </c>
      <c r="AY54" s="160">
        <v>11</v>
      </c>
      <c r="AZ54" s="160">
        <v>31</v>
      </c>
      <c r="BA54" s="160">
        <v>8</v>
      </c>
      <c r="BB54" s="160">
        <v>20</v>
      </c>
      <c r="BC54" s="160">
        <v>0</v>
      </c>
      <c r="BD54" s="160">
        <v>29</v>
      </c>
      <c r="BE54" s="160">
        <v>70</v>
      </c>
      <c r="BF54" s="160">
        <v>29</v>
      </c>
      <c r="BG54" s="160">
        <v>99</v>
      </c>
      <c r="BH54" s="160">
        <v>99</v>
      </c>
      <c r="BI54" s="160">
        <v>0</v>
      </c>
      <c r="BJ54" s="160">
        <v>0</v>
      </c>
      <c r="BK54" s="160">
        <v>0</v>
      </c>
      <c r="BL54" s="160">
        <v>59</v>
      </c>
      <c r="BM54" s="160">
        <v>23</v>
      </c>
      <c r="BN54" s="162">
        <v>1</v>
      </c>
      <c r="BO54" s="162">
        <v>24</v>
      </c>
      <c r="BP54" s="162">
        <v>26</v>
      </c>
      <c r="BQ54" s="163">
        <v>7.4896753061805765E-2</v>
      </c>
      <c r="BR54" s="164">
        <v>14.417</v>
      </c>
      <c r="BS54" s="164">
        <v>13.117000000000001</v>
      </c>
      <c r="BT54" s="164">
        <v>13.117000000000001</v>
      </c>
      <c r="BU54" s="164">
        <v>16.417000000000002</v>
      </c>
      <c r="BV54" s="165">
        <v>0</v>
      </c>
      <c r="BW54" s="165">
        <v>0</v>
      </c>
      <c r="BX54" s="166">
        <v>0</v>
      </c>
      <c r="BY54" s="166">
        <v>0</v>
      </c>
      <c r="BZ54" s="166">
        <v>0</v>
      </c>
      <c r="CA54" s="166">
        <v>0</v>
      </c>
      <c r="CB54" s="166">
        <v>0</v>
      </c>
      <c r="CC54" s="166">
        <v>0</v>
      </c>
      <c r="CD54" s="166">
        <v>0</v>
      </c>
      <c r="CE54" s="166">
        <v>0</v>
      </c>
      <c r="CF54" s="166">
        <v>0</v>
      </c>
      <c r="CG54" s="166">
        <v>0</v>
      </c>
      <c r="CH54" s="166">
        <v>10.644444444444444</v>
      </c>
      <c r="CI54" s="166">
        <v>15.238888888888889</v>
      </c>
      <c r="CJ54" s="166">
        <v>10.022222222222222</v>
      </c>
      <c r="CK54" s="166">
        <v>28.483333333333334</v>
      </c>
      <c r="CL54" s="166">
        <v>8.4555555555555557</v>
      </c>
      <c r="CM54" s="166">
        <v>18.477777777777778</v>
      </c>
      <c r="CN54" s="166">
        <v>0</v>
      </c>
      <c r="CO54" s="166">
        <v>25.883333333333333</v>
      </c>
      <c r="CP54" s="166">
        <v>65.438888888888897</v>
      </c>
      <c r="CQ54" s="166">
        <v>25.883333333333333</v>
      </c>
      <c r="CR54" s="166">
        <v>91.322222222222209</v>
      </c>
      <c r="CS54" s="166">
        <v>91.322222222222209</v>
      </c>
      <c r="CT54" s="166">
        <v>20.177777777777798</v>
      </c>
      <c r="CU54" s="166">
        <v>1.5333333333333301</v>
      </c>
      <c r="CV54" s="166">
        <v>21.71111111111113</v>
      </c>
      <c r="CW54" s="166">
        <v>92.85555555555554</v>
      </c>
      <c r="CX54" s="166">
        <v>0</v>
      </c>
      <c r="CY54" s="166">
        <v>0</v>
      </c>
      <c r="CZ54" s="165">
        <v>0</v>
      </c>
      <c r="DA54" s="165">
        <v>0</v>
      </c>
      <c r="DB54" s="165">
        <v>0</v>
      </c>
      <c r="DC54" s="165">
        <v>0</v>
      </c>
      <c r="DD54" s="165">
        <v>0</v>
      </c>
      <c r="DE54" s="165">
        <v>0</v>
      </c>
      <c r="DF54" s="165">
        <v>0</v>
      </c>
      <c r="DG54" s="165">
        <v>0</v>
      </c>
      <c r="DH54" s="165">
        <v>11</v>
      </c>
      <c r="DI54" s="165">
        <v>16</v>
      </c>
      <c r="DJ54" s="165">
        <v>20</v>
      </c>
      <c r="DK54" s="165">
        <v>12</v>
      </c>
      <c r="DL54" s="165">
        <v>27</v>
      </c>
      <c r="DM54" s="165">
        <v>7</v>
      </c>
      <c r="DN54" s="165">
        <v>0</v>
      </c>
      <c r="DO54" s="165">
        <v>27</v>
      </c>
      <c r="DP54" s="165">
        <v>66</v>
      </c>
      <c r="DQ54" s="165">
        <v>27</v>
      </c>
      <c r="DR54" s="165">
        <v>93</v>
      </c>
      <c r="DS54" s="165">
        <v>93</v>
      </c>
      <c r="DT54" s="165">
        <v>0</v>
      </c>
      <c r="DU54" s="165">
        <v>49</v>
      </c>
      <c r="DV54" s="165">
        <v>25</v>
      </c>
      <c r="DW54" s="165">
        <v>0</v>
      </c>
      <c r="DX54" s="165">
        <v>25</v>
      </c>
      <c r="DY54" s="165">
        <v>93</v>
      </c>
      <c r="DZ54" s="165">
        <v>16</v>
      </c>
      <c r="EA54" s="166">
        <v>17.053999999999998</v>
      </c>
      <c r="EB54" s="166">
        <v>15.654</v>
      </c>
      <c r="EC54" s="166">
        <v>0</v>
      </c>
      <c r="ED54" s="166">
        <v>14.058000000000003</v>
      </c>
      <c r="EE54" s="166">
        <v>0</v>
      </c>
      <c r="EF54" s="166">
        <v>17.471000000000004</v>
      </c>
      <c r="EG54" s="167">
        <v>8.6629746835443056E-2</v>
      </c>
      <c r="EH54" s="165"/>
      <c r="EI54" s="165">
        <v>0</v>
      </c>
      <c r="EJ54" s="165">
        <v>93</v>
      </c>
      <c r="EK54" s="165">
        <v>0</v>
      </c>
      <c r="EL54" s="165">
        <v>29</v>
      </c>
      <c r="EM54" s="165">
        <v>64</v>
      </c>
      <c r="EN54" s="165">
        <v>93</v>
      </c>
      <c r="EO54" s="165">
        <v>0</v>
      </c>
      <c r="EP54" s="165">
        <v>25</v>
      </c>
      <c r="EQ54" s="165">
        <v>25</v>
      </c>
      <c r="ER54" s="165">
        <v>25</v>
      </c>
      <c r="ES54" s="165">
        <v>0</v>
      </c>
      <c r="ET54" s="165">
        <v>3</v>
      </c>
      <c r="EU54" s="166">
        <v>2.39</v>
      </c>
      <c r="EV54" s="166">
        <v>0</v>
      </c>
      <c r="EW54" s="166">
        <v>1.5</v>
      </c>
      <c r="EX54" s="166">
        <v>0</v>
      </c>
      <c r="EY54" s="166">
        <v>0.26300000000000001</v>
      </c>
      <c r="EZ54" s="166">
        <v>4.1530000000000005</v>
      </c>
      <c r="FA54" s="166">
        <v>0</v>
      </c>
      <c r="FB54" s="166">
        <v>0</v>
      </c>
      <c r="FC54" s="166">
        <v>0</v>
      </c>
      <c r="FD54" s="166">
        <v>0</v>
      </c>
      <c r="FE54" s="166">
        <v>0</v>
      </c>
      <c r="FF54" s="166">
        <v>0</v>
      </c>
      <c r="FG54" s="166">
        <v>0</v>
      </c>
      <c r="FH54" s="166">
        <v>0</v>
      </c>
      <c r="FI54" s="166">
        <v>0</v>
      </c>
      <c r="FJ54" s="166">
        <v>11.28888888888889</v>
      </c>
      <c r="FK54" s="166">
        <v>15.611111111111111</v>
      </c>
      <c r="FL54" s="166">
        <v>22.533333333333335</v>
      </c>
      <c r="FM54" s="166">
        <v>12.872222222222222</v>
      </c>
      <c r="FN54" s="166">
        <v>26.155555555555555</v>
      </c>
      <c r="FO54" s="166">
        <v>6.3666666666666663</v>
      </c>
      <c r="FP54" s="166">
        <v>0</v>
      </c>
      <c r="FQ54" s="166">
        <v>26.9</v>
      </c>
      <c r="FR54" s="166">
        <v>67.927777777777777</v>
      </c>
      <c r="FS54" s="166">
        <v>26.9</v>
      </c>
      <c r="FT54" s="166">
        <v>94.827777777777769</v>
      </c>
      <c r="FU54" s="166">
        <v>94.827777777777769</v>
      </c>
      <c r="FV54" s="166">
        <v>23.127777777777776</v>
      </c>
      <c r="FW54" s="166">
        <v>0</v>
      </c>
      <c r="FX54" s="166">
        <v>23.127777777777776</v>
      </c>
      <c r="FY54" s="166">
        <v>94.827777777777769</v>
      </c>
      <c r="FZ54" s="165">
        <v>0</v>
      </c>
      <c r="GA54" s="165">
        <v>0</v>
      </c>
      <c r="GB54" s="165">
        <v>0</v>
      </c>
      <c r="GC54" s="165">
        <v>0</v>
      </c>
      <c r="GD54" s="165">
        <v>0</v>
      </c>
      <c r="GE54" s="165">
        <v>0</v>
      </c>
      <c r="GF54" s="165">
        <v>0</v>
      </c>
      <c r="GG54" s="165">
        <v>0</v>
      </c>
      <c r="GH54" s="165">
        <v>0</v>
      </c>
      <c r="GI54" s="165">
        <v>15</v>
      </c>
      <c r="GJ54" s="165">
        <v>11</v>
      </c>
      <c r="GK54" s="165">
        <v>21</v>
      </c>
      <c r="GL54" s="165">
        <v>30</v>
      </c>
      <c r="GM54" s="165">
        <v>25</v>
      </c>
      <c r="GN54" s="165">
        <v>28</v>
      </c>
      <c r="GO54" s="165">
        <v>0</v>
      </c>
      <c r="GP54" s="165">
        <v>26</v>
      </c>
      <c r="GQ54" s="165">
        <v>104</v>
      </c>
      <c r="GR54" s="165">
        <v>26</v>
      </c>
      <c r="GS54" s="165">
        <v>130</v>
      </c>
      <c r="GT54" s="165">
        <v>130</v>
      </c>
      <c r="GU54" s="165">
        <v>0</v>
      </c>
      <c r="GV54" s="165">
        <v>40</v>
      </c>
      <c r="GW54" s="165">
        <v>29</v>
      </c>
      <c r="GX54" s="165">
        <v>2</v>
      </c>
      <c r="GY54" s="165">
        <v>31</v>
      </c>
      <c r="GZ54" s="165">
        <v>132</v>
      </c>
      <c r="HA54" s="165">
        <v>11</v>
      </c>
      <c r="HB54" s="166">
        <v>13.417</v>
      </c>
      <c r="HC54" s="166">
        <v>13.016999999999999</v>
      </c>
      <c r="HD54" s="166">
        <v>0</v>
      </c>
      <c r="HE54" s="166">
        <v>11.605</v>
      </c>
      <c r="HF54" s="166"/>
      <c r="HG54" s="166">
        <v>14.667</v>
      </c>
      <c r="HH54" s="166">
        <v>0</v>
      </c>
      <c r="HI54" s="166">
        <v>36</v>
      </c>
      <c r="HJ54" s="166">
        <v>36</v>
      </c>
      <c r="HK54" s="166">
        <v>34</v>
      </c>
      <c r="HL54" s="166">
        <v>2</v>
      </c>
      <c r="HM54" s="166">
        <v>0</v>
      </c>
      <c r="HN54" s="166">
        <v>0</v>
      </c>
      <c r="HO54" s="166">
        <v>131</v>
      </c>
      <c r="HP54" s="166">
        <v>0</v>
      </c>
      <c r="HQ54" s="166">
        <v>26</v>
      </c>
      <c r="HR54" s="166">
        <v>105</v>
      </c>
      <c r="HS54" s="166">
        <v>131</v>
      </c>
      <c r="HT54" s="166">
        <f>FY26_FE_Data_April15[[#This Row],[Oct 1, 2026 (CDC) - K]]+FY26_FE_Data_April15[[#This Row],[Oct 1, 2026 (CDC) - Grades 1-6]]+FY26_FE_Data_April15[[#This Row],[Oct 1, 2026 (CDC) - Grades 7-8]]</f>
        <v>26</v>
      </c>
      <c r="HU54" s="166">
        <v>0</v>
      </c>
      <c r="HW54" s="170"/>
      <c r="HY54" s="170"/>
    </row>
    <row r="55" spans="1:233" ht="39">
      <c r="A55" s="158">
        <v>89</v>
      </c>
      <c r="B55" s="159" t="s">
        <v>385</v>
      </c>
      <c r="C55" s="160" t="s">
        <v>386</v>
      </c>
      <c r="D55" s="160" t="s">
        <v>139</v>
      </c>
      <c r="E55" s="159" t="s">
        <v>784</v>
      </c>
      <c r="F55" s="159" t="s">
        <v>784</v>
      </c>
      <c r="G55" s="159"/>
      <c r="H55" s="161">
        <v>39.299999999999997</v>
      </c>
      <c r="I55" s="161">
        <v>12.544444444444444</v>
      </c>
      <c r="J55" s="161">
        <v>51.844444444444441</v>
      </c>
      <c r="K55" s="162">
        <v>42</v>
      </c>
      <c r="L55" s="162">
        <v>241</v>
      </c>
      <c r="M55" s="162">
        <v>52</v>
      </c>
      <c r="N55" s="162">
        <v>0</v>
      </c>
      <c r="O55" s="162">
        <v>335</v>
      </c>
      <c r="P55" s="162">
        <v>293</v>
      </c>
      <c r="Q55" s="162">
        <v>335</v>
      </c>
      <c r="R55" s="162">
        <v>11</v>
      </c>
      <c r="S55" s="160">
        <v>41.466666666666669</v>
      </c>
      <c r="T55" s="160">
        <v>33.538888888888891</v>
      </c>
      <c r="U55" s="160">
        <v>39.166666666666664</v>
      </c>
      <c r="V55" s="160">
        <v>39.994444444444447</v>
      </c>
      <c r="W55" s="160">
        <v>41.511111111111113</v>
      </c>
      <c r="X55" s="160">
        <v>43.15</v>
      </c>
      <c r="Y55" s="160">
        <v>34</v>
      </c>
      <c r="Z55" s="160">
        <v>26.716666666666665</v>
      </c>
      <c r="AA55" s="160">
        <v>23.233333333333334</v>
      </c>
      <c r="AB55" s="160">
        <v>0</v>
      </c>
      <c r="AC55" s="160">
        <v>0</v>
      </c>
      <c r="AD55" s="160">
        <v>0</v>
      </c>
      <c r="AE55" s="160">
        <v>0</v>
      </c>
      <c r="AF55" s="160">
        <v>231.36111111111111</v>
      </c>
      <c r="AG55" s="160">
        <v>49.95</v>
      </c>
      <c r="AH55" s="160">
        <v>0</v>
      </c>
      <c r="AI55" s="160">
        <v>322.77777777777777</v>
      </c>
      <c r="AJ55" s="160">
        <v>281.31111111111113</v>
      </c>
      <c r="AK55" s="160">
        <v>322.77777777777777</v>
      </c>
      <c r="AL55" s="161">
        <v>55.955555555555556</v>
      </c>
      <c r="AM55" s="161">
        <v>9.6888888888888882</v>
      </c>
      <c r="AN55" s="161">
        <v>65.644444444444446</v>
      </c>
      <c r="AO55" s="161">
        <v>332.46666666666664</v>
      </c>
      <c r="AP55" s="162">
        <v>39</v>
      </c>
      <c r="AQ55" s="168">
        <v>41</v>
      </c>
      <c r="AR55" s="160">
        <v>38</v>
      </c>
      <c r="AS55" s="160">
        <v>43</v>
      </c>
      <c r="AT55" s="160">
        <v>42</v>
      </c>
      <c r="AU55" s="160">
        <v>39</v>
      </c>
      <c r="AV55" s="160">
        <v>38</v>
      </c>
      <c r="AW55" s="160">
        <v>32</v>
      </c>
      <c r="AX55" s="160">
        <v>22</v>
      </c>
      <c r="AY55" s="160">
        <v>0</v>
      </c>
      <c r="AZ55" s="160">
        <v>0</v>
      </c>
      <c r="BA55" s="160">
        <v>0</v>
      </c>
      <c r="BB55" s="160">
        <v>0</v>
      </c>
      <c r="BC55" s="160">
        <v>241</v>
      </c>
      <c r="BD55" s="160">
        <v>54</v>
      </c>
      <c r="BE55" s="160">
        <v>0</v>
      </c>
      <c r="BF55" s="160">
        <v>334</v>
      </c>
      <c r="BG55" s="160">
        <v>295</v>
      </c>
      <c r="BH55" s="160">
        <v>334</v>
      </c>
      <c r="BI55" s="160">
        <v>37</v>
      </c>
      <c r="BJ55" s="160">
        <v>2</v>
      </c>
      <c r="BK55" s="160">
        <v>0</v>
      </c>
      <c r="BL55" s="160">
        <v>7</v>
      </c>
      <c r="BM55" s="160">
        <v>61</v>
      </c>
      <c r="BN55" s="162">
        <v>9</v>
      </c>
      <c r="BO55" s="162">
        <v>70</v>
      </c>
      <c r="BP55" s="162">
        <v>0</v>
      </c>
      <c r="BQ55" s="163">
        <v>8.6574074074074137E-2</v>
      </c>
      <c r="BR55" s="164">
        <v>22.033000000000001</v>
      </c>
      <c r="BS55" s="164">
        <v>21.033000000000001</v>
      </c>
      <c r="BT55" s="164">
        <v>20.486000000000001</v>
      </c>
      <c r="BU55" s="164">
        <v>26.033000000000001</v>
      </c>
      <c r="BV55" s="165">
        <v>0</v>
      </c>
      <c r="BW55" s="165">
        <v>0</v>
      </c>
      <c r="BX55" s="166">
        <v>0</v>
      </c>
      <c r="BY55" s="166">
        <v>1</v>
      </c>
      <c r="BZ55" s="166">
        <v>36.677776999999999</v>
      </c>
      <c r="CA55" s="166">
        <v>37.677777777777777</v>
      </c>
      <c r="CB55" s="166">
        <v>40.105555555555554</v>
      </c>
      <c r="CC55" s="166">
        <v>36.966666666666669</v>
      </c>
      <c r="CD55" s="166">
        <v>42.777777777777779</v>
      </c>
      <c r="CE55" s="166">
        <v>39.799999999999997</v>
      </c>
      <c r="CF55" s="166">
        <v>38.516666666666666</v>
      </c>
      <c r="CG55" s="166">
        <v>38.605555555555554</v>
      </c>
      <c r="CH55" s="166">
        <v>29.972222222222221</v>
      </c>
      <c r="CI55" s="166">
        <v>22.155555555555555</v>
      </c>
      <c r="CJ55" s="166">
        <v>0</v>
      </c>
      <c r="CK55" s="166">
        <v>0</v>
      </c>
      <c r="CL55" s="166">
        <v>0</v>
      </c>
      <c r="CM55" s="166">
        <v>0</v>
      </c>
      <c r="CN55" s="166">
        <v>236.77222222222218</v>
      </c>
      <c r="CO55" s="166">
        <v>52.12777777777778</v>
      </c>
      <c r="CP55" s="166">
        <v>0</v>
      </c>
      <c r="CQ55" s="166">
        <v>326.57777777777778</v>
      </c>
      <c r="CR55" s="166">
        <v>288.89999999999998</v>
      </c>
      <c r="CS55" s="166">
        <v>326.57777777777778</v>
      </c>
      <c r="CT55" s="166">
        <v>76.0833333333333</v>
      </c>
      <c r="CU55" s="166">
        <v>1.6666666666666701E-2</v>
      </c>
      <c r="CV55" s="166">
        <v>76.099999999999966</v>
      </c>
      <c r="CW55" s="166">
        <v>326.59444444444443</v>
      </c>
      <c r="CX55" s="166">
        <v>0</v>
      </c>
      <c r="CY55" s="166">
        <v>42</v>
      </c>
      <c r="CZ55" s="165">
        <v>0</v>
      </c>
      <c r="DA55" s="165">
        <v>42</v>
      </c>
      <c r="DB55" s="165">
        <v>34</v>
      </c>
      <c r="DC55" s="165">
        <v>42</v>
      </c>
      <c r="DD55" s="165">
        <v>37</v>
      </c>
      <c r="DE55" s="165">
        <v>42</v>
      </c>
      <c r="DF55" s="165">
        <v>43</v>
      </c>
      <c r="DG55" s="165">
        <v>38</v>
      </c>
      <c r="DH55" s="165">
        <v>24</v>
      </c>
      <c r="DI55" s="165">
        <v>28</v>
      </c>
      <c r="DJ55" s="165">
        <v>0</v>
      </c>
      <c r="DK55" s="165">
        <v>0</v>
      </c>
      <c r="DL55" s="165">
        <v>0</v>
      </c>
      <c r="DM55" s="165">
        <v>0</v>
      </c>
      <c r="DN55" s="165">
        <v>236</v>
      </c>
      <c r="DO55" s="165">
        <v>52</v>
      </c>
      <c r="DP55" s="165">
        <v>0</v>
      </c>
      <c r="DQ55" s="165">
        <v>330</v>
      </c>
      <c r="DR55" s="165">
        <v>288</v>
      </c>
      <c r="DS55" s="165">
        <v>330</v>
      </c>
      <c r="DT55" s="165">
        <v>0</v>
      </c>
      <c r="DU55" s="165">
        <v>6</v>
      </c>
      <c r="DV55" s="165">
        <v>81</v>
      </c>
      <c r="DW55" s="165">
        <v>0</v>
      </c>
      <c r="DX55" s="165">
        <v>81</v>
      </c>
      <c r="DY55" s="165">
        <v>330</v>
      </c>
      <c r="DZ55" s="165">
        <v>0</v>
      </c>
      <c r="EA55" s="166">
        <v>23.033000000000001</v>
      </c>
      <c r="EB55" s="166">
        <v>22.033000000000001</v>
      </c>
      <c r="EC55" s="166">
        <v>14.006</v>
      </c>
      <c r="ED55" s="166">
        <v>5.48</v>
      </c>
      <c r="EE55" s="166">
        <v>0</v>
      </c>
      <c r="EF55" s="166">
        <v>24.033000000000001</v>
      </c>
      <c r="EG55" s="167">
        <v>7.6369863013698636E-2</v>
      </c>
      <c r="EH55" s="165"/>
      <c r="EI55" s="165">
        <v>41</v>
      </c>
      <c r="EJ55" s="165">
        <v>287</v>
      </c>
      <c r="EK55" s="165">
        <v>236</v>
      </c>
      <c r="EL55" s="165">
        <v>51</v>
      </c>
      <c r="EM55" s="165">
        <v>0</v>
      </c>
      <c r="EN55" s="165">
        <v>328</v>
      </c>
      <c r="EO55" s="165">
        <v>0</v>
      </c>
      <c r="EP55" s="165">
        <v>84</v>
      </c>
      <c r="EQ55" s="165">
        <v>84</v>
      </c>
      <c r="ER55" s="165">
        <v>84</v>
      </c>
      <c r="ES55" s="165">
        <v>0</v>
      </c>
      <c r="ET55" s="165">
        <v>7</v>
      </c>
      <c r="EU55" s="166">
        <v>4.13</v>
      </c>
      <c r="EV55" s="166">
        <v>0</v>
      </c>
      <c r="EW55" s="166">
        <v>2</v>
      </c>
      <c r="EX55" s="166">
        <v>0</v>
      </c>
      <c r="EY55" s="166">
        <v>1.23</v>
      </c>
      <c r="EZ55" s="166">
        <v>7.3599999999999994</v>
      </c>
      <c r="FA55" s="166">
        <v>0</v>
      </c>
      <c r="FB55" s="166">
        <v>41.977777777777774</v>
      </c>
      <c r="FC55" s="166">
        <v>41.977777777777774</v>
      </c>
      <c r="FD55" s="166">
        <v>33.883333333333333</v>
      </c>
      <c r="FE55" s="166">
        <v>41.711111111111109</v>
      </c>
      <c r="FF55" s="166">
        <v>37.049999999999997</v>
      </c>
      <c r="FG55" s="166">
        <v>41.661111111111111</v>
      </c>
      <c r="FH55" s="166">
        <v>41.083333333333336</v>
      </c>
      <c r="FI55" s="166">
        <v>37.466666666666669</v>
      </c>
      <c r="FJ55" s="166">
        <v>24.161111111111111</v>
      </c>
      <c r="FK55" s="166">
        <v>27.994444444444444</v>
      </c>
      <c r="FL55" s="166">
        <v>0</v>
      </c>
      <c r="FM55" s="166">
        <v>0</v>
      </c>
      <c r="FN55" s="166">
        <v>0</v>
      </c>
      <c r="FO55" s="166">
        <v>0</v>
      </c>
      <c r="FP55" s="166">
        <v>232.85555555555555</v>
      </c>
      <c r="FQ55" s="166">
        <v>52.155555555555551</v>
      </c>
      <c r="FR55" s="166">
        <v>0</v>
      </c>
      <c r="FS55" s="166">
        <v>326.98888888888888</v>
      </c>
      <c r="FT55" s="166">
        <v>285.01111111111112</v>
      </c>
      <c r="FU55" s="166">
        <v>326.98888888888888</v>
      </c>
      <c r="FV55" s="166">
        <v>83.3</v>
      </c>
      <c r="FW55" s="166">
        <v>0</v>
      </c>
      <c r="FX55" s="166">
        <v>83.3</v>
      </c>
      <c r="FY55" s="166">
        <v>326.98888888888888</v>
      </c>
      <c r="FZ55" s="165">
        <v>0</v>
      </c>
      <c r="GA55" s="165">
        <v>38</v>
      </c>
      <c r="GB55" s="165">
        <v>38</v>
      </c>
      <c r="GC55" s="165">
        <v>40</v>
      </c>
      <c r="GD55" s="165">
        <v>38</v>
      </c>
      <c r="GE55" s="165">
        <v>38</v>
      </c>
      <c r="GF55" s="165">
        <v>36</v>
      </c>
      <c r="GG55" s="165">
        <v>43</v>
      </c>
      <c r="GH55" s="165">
        <v>32</v>
      </c>
      <c r="GI55" s="165">
        <v>34</v>
      </c>
      <c r="GJ55" s="165">
        <v>23</v>
      </c>
      <c r="GK55" s="165">
        <v>0</v>
      </c>
      <c r="GL55" s="165">
        <v>0</v>
      </c>
      <c r="GM55" s="165">
        <v>0</v>
      </c>
      <c r="GN55" s="165">
        <v>0</v>
      </c>
      <c r="GO55" s="165">
        <v>227</v>
      </c>
      <c r="GP55" s="165">
        <v>57</v>
      </c>
      <c r="GQ55" s="165">
        <v>0</v>
      </c>
      <c r="GR55" s="165">
        <v>322</v>
      </c>
      <c r="GS55" s="165">
        <v>284</v>
      </c>
      <c r="GT55" s="165">
        <v>322</v>
      </c>
      <c r="GU55" s="165">
        <v>0</v>
      </c>
      <c r="GV55" s="165">
        <v>3</v>
      </c>
      <c r="GW55" s="165">
        <v>71</v>
      </c>
      <c r="GX55" s="165">
        <v>0</v>
      </c>
      <c r="GY55" s="165">
        <v>71</v>
      </c>
      <c r="GZ55" s="165">
        <v>322</v>
      </c>
      <c r="HA55" s="165">
        <v>2</v>
      </c>
      <c r="HB55" s="166">
        <v>24.547000000000001</v>
      </c>
      <c r="HC55" s="166">
        <v>23.547000000000001</v>
      </c>
      <c r="HD55" s="166">
        <v>14.52</v>
      </c>
      <c r="HE55" s="166">
        <v>5.48</v>
      </c>
      <c r="HF55" s="166"/>
      <c r="HG55" s="166">
        <v>26.286999999999999</v>
      </c>
      <c r="HH55" s="166">
        <v>0</v>
      </c>
      <c r="HI55" s="166">
        <v>76</v>
      </c>
      <c r="HJ55" s="166">
        <v>76</v>
      </c>
      <c r="HK55" s="166">
        <v>76</v>
      </c>
      <c r="HL55" s="166">
        <v>0</v>
      </c>
      <c r="HM55" s="166">
        <v>5</v>
      </c>
      <c r="HN55" s="166">
        <v>42</v>
      </c>
      <c r="HO55" s="166">
        <v>288</v>
      </c>
      <c r="HP55" s="166">
        <v>236</v>
      </c>
      <c r="HQ55" s="166">
        <v>52</v>
      </c>
      <c r="HR55" s="166">
        <v>0</v>
      </c>
      <c r="HS55" s="166">
        <v>330</v>
      </c>
      <c r="HT55" s="166">
        <f>FY26_FE_Data_April15[[#This Row],[Oct 1, 2026 (CDC) - K]]+FY26_FE_Data_April15[[#This Row],[Oct 1, 2026 (CDC) - Grades 1-6]]+FY26_FE_Data_April15[[#This Row],[Oct 1, 2026 (CDC) - Grades 7-8]]</f>
        <v>330</v>
      </c>
      <c r="HU55" s="166">
        <v>0</v>
      </c>
      <c r="HW55" s="170"/>
      <c r="HY55" s="170"/>
    </row>
    <row r="56" spans="1:233" ht="26">
      <c r="A56" s="158">
        <v>91</v>
      </c>
      <c r="B56" s="159" t="s">
        <v>387</v>
      </c>
      <c r="C56" s="160" t="s">
        <v>388</v>
      </c>
      <c r="D56" s="160" t="s">
        <v>139</v>
      </c>
      <c r="E56" s="159" t="s">
        <v>784</v>
      </c>
      <c r="F56" s="159" t="s">
        <v>784</v>
      </c>
      <c r="G56" s="159"/>
      <c r="H56" s="161">
        <v>17.350000000000001</v>
      </c>
      <c r="I56" s="161">
        <v>0</v>
      </c>
      <c r="J56" s="161">
        <v>17.350000000000001</v>
      </c>
      <c r="K56" s="162">
        <v>0</v>
      </c>
      <c r="L56" s="162">
        <v>0</v>
      </c>
      <c r="M56" s="162">
        <v>0</v>
      </c>
      <c r="N56" s="162">
        <v>274</v>
      </c>
      <c r="O56" s="162">
        <v>274</v>
      </c>
      <c r="P56" s="162">
        <v>274</v>
      </c>
      <c r="Q56" s="162">
        <v>0</v>
      </c>
      <c r="R56" s="162">
        <v>0</v>
      </c>
      <c r="S56" s="160">
        <v>0</v>
      </c>
      <c r="T56" s="160">
        <v>0</v>
      </c>
      <c r="U56" s="160">
        <v>0</v>
      </c>
      <c r="V56" s="160">
        <v>0</v>
      </c>
      <c r="W56" s="160">
        <v>0</v>
      </c>
      <c r="X56" s="160">
        <v>0</v>
      </c>
      <c r="Y56" s="160">
        <v>0</v>
      </c>
      <c r="Z56" s="160">
        <v>0</v>
      </c>
      <c r="AA56" s="160">
        <v>0</v>
      </c>
      <c r="AB56" s="160">
        <v>53</v>
      </c>
      <c r="AC56" s="160">
        <v>88.25555555555556</v>
      </c>
      <c r="AD56" s="160">
        <v>62.3</v>
      </c>
      <c r="AE56" s="160">
        <v>68.327777777777783</v>
      </c>
      <c r="AF56" s="160">
        <v>0</v>
      </c>
      <c r="AG56" s="160">
        <v>0</v>
      </c>
      <c r="AH56" s="160">
        <v>271.88333333333333</v>
      </c>
      <c r="AI56" s="160">
        <v>0</v>
      </c>
      <c r="AJ56" s="160">
        <v>271.88333333333333</v>
      </c>
      <c r="AK56" s="160">
        <v>271.88333333333333</v>
      </c>
      <c r="AL56" s="161">
        <v>30.633333333333333</v>
      </c>
      <c r="AM56" s="161">
        <v>0</v>
      </c>
      <c r="AN56" s="161">
        <v>30.633333333333333</v>
      </c>
      <c r="AO56" s="161">
        <v>271.88333333333333</v>
      </c>
      <c r="AP56" s="162">
        <v>0</v>
      </c>
      <c r="AQ56" s="168">
        <v>0</v>
      </c>
      <c r="AR56" s="160">
        <v>0</v>
      </c>
      <c r="AS56" s="160">
        <v>0</v>
      </c>
      <c r="AT56" s="160">
        <v>0</v>
      </c>
      <c r="AU56" s="160">
        <v>0</v>
      </c>
      <c r="AV56" s="160">
        <v>0</v>
      </c>
      <c r="AW56" s="160">
        <v>0</v>
      </c>
      <c r="AX56" s="160">
        <v>0</v>
      </c>
      <c r="AY56" s="160">
        <v>44</v>
      </c>
      <c r="AZ56" s="160">
        <v>79</v>
      </c>
      <c r="BA56" s="160">
        <v>92</v>
      </c>
      <c r="BB56" s="160">
        <v>65</v>
      </c>
      <c r="BC56" s="160">
        <v>0</v>
      </c>
      <c r="BD56" s="160">
        <v>0</v>
      </c>
      <c r="BE56" s="160">
        <v>280</v>
      </c>
      <c r="BF56" s="160">
        <v>0</v>
      </c>
      <c r="BG56" s="160">
        <v>280</v>
      </c>
      <c r="BH56" s="160">
        <v>280</v>
      </c>
      <c r="BI56" s="160">
        <v>0</v>
      </c>
      <c r="BJ56" s="160">
        <v>0</v>
      </c>
      <c r="BK56" s="160">
        <v>0</v>
      </c>
      <c r="BL56" s="160">
        <v>76</v>
      </c>
      <c r="BM56" s="160">
        <v>23</v>
      </c>
      <c r="BN56" s="162">
        <v>0</v>
      </c>
      <c r="BO56" s="162">
        <v>23</v>
      </c>
      <c r="BP56" s="162">
        <v>1</v>
      </c>
      <c r="BQ56" s="163">
        <v>8.0513698630136965E-2</v>
      </c>
      <c r="BR56" s="164">
        <v>20.75</v>
      </c>
      <c r="BS56" s="164">
        <v>19.75</v>
      </c>
      <c r="BT56" s="164">
        <v>19.899999999999999</v>
      </c>
      <c r="BU56" s="164">
        <v>20.9</v>
      </c>
      <c r="BV56" s="165">
        <v>0</v>
      </c>
      <c r="BW56" s="165">
        <v>0</v>
      </c>
      <c r="BX56" s="166">
        <v>0</v>
      </c>
      <c r="BY56" s="166">
        <v>0</v>
      </c>
      <c r="BZ56" s="166">
        <v>0</v>
      </c>
      <c r="CA56" s="166">
        <v>0</v>
      </c>
      <c r="CB56" s="166">
        <v>0</v>
      </c>
      <c r="CC56" s="166">
        <v>0</v>
      </c>
      <c r="CD56" s="166">
        <v>0</v>
      </c>
      <c r="CE56" s="166">
        <v>0</v>
      </c>
      <c r="CF56" s="166">
        <v>0</v>
      </c>
      <c r="CG56" s="166">
        <v>0</v>
      </c>
      <c r="CH56" s="166">
        <v>0</v>
      </c>
      <c r="CI56" s="166">
        <v>0</v>
      </c>
      <c r="CJ56" s="166">
        <v>41.194444444444443</v>
      </c>
      <c r="CK56" s="166">
        <v>71.394444444444446</v>
      </c>
      <c r="CL56" s="166">
        <v>89.9</v>
      </c>
      <c r="CM56" s="166">
        <v>60.383333333333333</v>
      </c>
      <c r="CN56" s="166">
        <v>0</v>
      </c>
      <c r="CO56" s="166">
        <v>0</v>
      </c>
      <c r="CP56" s="166">
        <v>262.87222222222221</v>
      </c>
      <c r="CQ56" s="166">
        <v>0</v>
      </c>
      <c r="CR56" s="166">
        <v>262.87222222222221</v>
      </c>
      <c r="CS56" s="166">
        <v>262.87222222222221</v>
      </c>
      <c r="CT56" s="166">
        <v>23.1666666666667</v>
      </c>
      <c r="CU56" s="166">
        <v>0</v>
      </c>
      <c r="CV56" s="166">
        <v>23.1666666666667</v>
      </c>
      <c r="CW56" s="166">
        <v>262.87222222222221</v>
      </c>
      <c r="CX56" s="166">
        <v>0</v>
      </c>
      <c r="CY56" s="166">
        <v>0</v>
      </c>
      <c r="CZ56" s="165">
        <v>0</v>
      </c>
      <c r="DA56" s="165">
        <v>0</v>
      </c>
      <c r="DB56" s="165">
        <v>0</v>
      </c>
      <c r="DC56" s="165">
        <v>0</v>
      </c>
      <c r="DD56" s="165">
        <v>0</v>
      </c>
      <c r="DE56" s="165">
        <v>0</v>
      </c>
      <c r="DF56" s="165">
        <v>0</v>
      </c>
      <c r="DG56" s="165">
        <v>0</v>
      </c>
      <c r="DH56" s="165">
        <v>0</v>
      </c>
      <c r="DI56" s="165">
        <v>41</v>
      </c>
      <c r="DJ56" s="165">
        <v>60</v>
      </c>
      <c r="DK56" s="165">
        <v>59</v>
      </c>
      <c r="DL56" s="165">
        <v>69</v>
      </c>
      <c r="DM56" s="165">
        <v>82</v>
      </c>
      <c r="DN56" s="165">
        <v>0</v>
      </c>
      <c r="DO56" s="165">
        <v>41</v>
      </c>
      <c r="DP56" s="165">
        <v>270</v>
      </c>
      <c r="DQ56" s="165">
        <v>41</v>
      </c>
      <c r="DR56" s="165">
        <v>311</v>
      </c>
      <c r="DS56" s="165">
        <v>311</v>
      </c>
      <c r="DT56" s="165">
        <v>0</v>
      </c>
      <c r="DU56" s="165">
        <v>82</v>
      </c>
      <c r="DV56" s="165">
        <v>24</v>
      </c>
      <c r="DW56" s="165">
        <v>0</v>
      </c>
      <c r="DX56" s="165">
        <v>24</v>
      </c>
      <c r="DY56" s="165">
        <v>311</v>
      </c>
      <c r="DZ56" s="165">
        <v>4</v>
      </c>
      <c r="EA56" s="166">
        <v>20.25</v>
      </c>
      <c r="EB56" s="166">
        <v>19.25</v>
      </c>
      <c r="EC56" s="166">
        <v>0</v>
      </c>
      <c r="ED56" s="166">
        <v>17.25</v>
      </c>
      <c r="EE56" s="166">
        <v>0</v>
      </c>
      <c r="EF56" s="166">
        <v>20.399999999999999</v>
      </c>
      <c r="EG56" s="167">
        <v>7.4615921787709427E-2</v>
      </c>
      <c r="EH56" s="165"/>
      <c r="EI56" s="165">
        <v>0</v>
      </c>
      <c r="EJ56" s="165">
        <v>311</v>
      </c>
      <c r="EK56" s="165">
        <v>0</v>
      </c>
      <c r="EL56" s="165">
        <v>48</v>
      </c>
      <c r="EM56" s="165">
        <v>263</v>
      </c>
      <c r="EN56" s="165">
        <v>311</v>
      </c>
      <c r="EO56" s="165">
        <v>0</v>
      </c>
      <c r="EP56" s="165">
        <v>31</v>
      </c>
      <c r="EQ56" s="165">
        <v>31</v>
      </c>
      <c r="ER56" s="165">
        <v>31</v>
      </c>
      <c r="ES56" s="165">
        <v>0</v>
      </c>
      <c r="ET56" s="165">
        <v>0</v>
      </c>
      <c r="EU56" s="166">
        <v>0.5</v>
      </c>
      <c r="EV56" s="166">
        <v>0</v>
      </c>
      <c r="EW56" s="166">
        <v>1.5</v>
      </c>
      <c r="EX56" s="166">
        <v>0</v>
      </c>
      <c r="EY56" s="166">
        <v>1.5</v>
      </c>
      <c r="EZ56" s="166">
        <v>3.5</v>
      </c>
      <c r="FA56" s="166">
        <v>0</v>
      </c>
      <c r="FB56" s="166">
        <v>0</v>
      </c>
      <c r="FC56" s="166">
        <v>0</v>
      </c>
      <c r="FD56" s="166">
        <v>0</v>
      </c>
      <c r="FE56" s="166">
        <v>0</v>
      </c>
      <c r="FF56" s="166">
        <v>0</v>
      </c>
      <c r="FG56" s="166">
        <v>0</v>
      </c>
      <c r="FH56" s="166">
        <v>0</v>
      </c>
      <c r="FI56" s="166">
        <v>0</v>
      </c>
      <c r="FJ56" s="166">
        <v>0</v>
      </c>
      <c r="FK56" s="166">
        <v>45.672222222222224</v>
      </c>
      <c r="FL56" s="166">
        <v>65.594444444444449</v>
      </c>
      <c r="FM56" s="166">
        <v>59</v>
      </c>
      <c r="FN56" s="166">
        <v>68.766666666666666</v>
      </c>
      <c r="FO56" s="166">
        <v>85.533333333333331</v>
      </c>
      <c r="FP56" s="166">
        <v>0</v>
      </c>
      <c r="FQ56" s="166">
        <v>45.672222222222224</v>
      </c>
      <c r="FR56" s="166">
        <v>278.89444444444445</v>
      </c>
      <c r="FS56" s="166">
        <v>45.672222222222224</v>
      </c>
      <c r="FT56" s="166">
        <v>324.56666666666672</v>
      </c>
      <c r="FU56" s="166">
        <v>324.56666666666672</v>
      </c>
      <c r="FV56" s="166">
        <v>26.93888888888889</v>
      </c>
      <c r="FW56" s="166">
        <v>0</v>
      </c>
      <c r="FX56" s="166">
        <v>26.93888888888889</v>
      </c>
      <c r="FY56" s="166">
        <v>324.56666666666672</v>
      </c>
      <c r="FZ56" s="165">
        <v>0</v>
      </c>
      <c r="GA56" s="165">
        <v>0</v>
      </c>
      <c r="GB56" s="165">
        <v>0</v>
      </c>
      <c r="GC56" s="165">
        <v>0</v>
      </c>
      <c r="GD56" s="165">
        <v>0</v>
      </c>
      <c r="GE56" s="165">
        <v>0</v>
      </c>
      <c r="GF56" s="165">
        <v>0</v>
      </c>
      <c r="GG56" s="165">
        <v>0</v>
      </c>
      <c r="GH56" s="165">
        <v>0</v>
      </c>
      <c r="GI56" s="165">
        <v>0</v>
      </c>
      <c r="GJ56" s="165">
        <v>68</v>
      </c>
      <c r="GK56" s="165">
        <v>82</v>
      </c>
      <c r="GL56" s="165">
        <v>85</v>
      </c>
      <c r="GM56" s="165">
        <v>67</v>
      </c>
      <c r="GN56" s="165">
        <v>62</v>
      </c>
      <c r="GO56" s="165">
        <v>0</v>
      </c>
      <c r="GP56" s="165">
        <v>68</v>
      </c>
      <c r="GQ56" s="165">
        <v>296</v>
      </c>
      <c r="GR56" s="165">
        <v>68</v>
      </c>
      <c r="GS56" s="165">
        <v>364</v>
      </c>
      <c r="GT56" s="165">
        <v>364</v>
      </c>
      <c r="GU56" s="165">
        <v>0</v>
      </c>
      <c r="GV56" s="165">
        <v>102</v>
      </c>
      <c r="GW56" s="165">
        <v>20</v>
      </c>
      <c r="GX56" s="165">
        <v>6</v>
      </c>
      <c r="GY56" s="165">
        <v>26</v>
      </c>
      <c r="GZ56" s="165">
        <v>370</v>
      </c>
      <c r="HA56" s="165">
        <v>2</v>
      </c>
      <c r="HB56" s="166">
        <v>23.05</v>
      </c>
      <c r="HC56" s="166">
        <v>20.55</v>
      </c>
      <c r="HD56" s="166">
        <v>0</v>
      </c>
      <c r="HE56" s="166">
        <v>19.049999999999997</v>
      </c>
      <c r="HF56" s="166"/>
      <c r="HG56" s="166">
        <v>23.9925</v>
      </c>
      <c r="HH56" s="166">
        <v>0</v>
      </c>
      <c r="HI56" s="166">
        <v>35</v>
      </c>
      <c r="HJ56" s="166">
        <v>35</v>
      </c>
      <c r="HK56" s="166">
        <v>28</v>
      </c>
      <c r="HL56" s="166">
        <v>7</v>
      </c>
      <c r="HM56" s="166">
        <v>0</v>
      </c>
      <c r="HN56" s="166">
        <v>0</v>
      </c>
      <c r="HO56" s="166">
        <v>385</v>
      </c>
      <c r="HP56" s="166">
        <v>0</v>
      </c>
      <c r="HQ56" s="166">
        <v>60</v>
      </c>
      <c r="HR56" s="166">
        <v>325</v>
      </c>
      <c r="HS56" s="166">
        <v>385</v>
      </c>
      <c r="HT56" s="166">
        <f>FY26_FE_Data_April15[[#This Row],[Oct 1, 2026 (CDC) - K]]+FY26_FE_Data_April15[[#This Row],[Oct 1, 2026 (CDC) - Grades 1-6]]+FY26_FE_Data_April15[[#This Row],[Oct 1, 2026 (CDC) - Grades 7-8]]</f>
        <v>60</v>
      </c>
      <c r="HU56" s="166">
        <v>0</v>
      </c>
      <c r="HW56" s="170"/>
      <c r="HY56" s="170"/>
    </row>
    <row r="57" spans="1:233" ht="26">
      <c r="A57" s="158">
        <v>92</v>
      </c>
      <c r="B57" s="159" t="s">
        <v>389</v>
      </c>
      <c r="C57" s="160" t="s">
        <v>390</v>
      </c>
      <c r="D57" s="160" t="s">
        <v>139</v>
      </c>
      <c r="E57" s="159" t="s">
        <v>784</v>
      </c>
      <c r="F57" s="159" t="s">
        <v>784</v>
      </c>
      <c r="G57" s="159"/>
      <c r="H57" s="161">
        <v>8.3944444444444439</v>
      </c>
      <c r="I57" s="161">
        <v>6.6666666666666666E-2</v>
      </c>
      <c r="J57" s="161">
        <v>8.4611111111111104</v>
      </c>
      <c r="K57" s="162">
        <v>0</v>
      </c>
      <c r="L57" s="162">
        <v>0</v>
      </c>
      <c r="M57" s="162">
        <v>0</v>
      </c>
      <c r="N57" s="162">
        <v>75</v>
      </c>
      <c r="O57" s="162">
        <v>75</v>
      </c>
      <c r="P57" s="162">
        <v>75</v>
      </c>
      <c r="Q57" s="162">
        <v>0</v>
      </c>
      <c r="R57" s="162">
        <v>0</v>
      </c>
      <c r="S57" s="160">
        <v>0</v>
      </c>
      <c r="T57" s="160">
        <v>0</v>
      </c>
      <c r="U57" s="160">
        <v>0</v>
      </c>
      <c r="V57" s="160">
        <v>0</v>
      </c>
      <c r="W57" s="160">
        <v>0</v>
      </c>
      <c r="X57" s="160">
        <v>0</v>
      </c>
      <c r="Y57" s="160">
        <v>0</v>
      </c>
      <c r="Z57" s="160">
        <v>0</v>
      </c>
      <c r="AA57" s="160">
        <v>0</v>
      </c>
      <c r="AB57" s="160">
        <v>19.922222222222221</v>
      </c>
      <c r="AC57" s="160">
        <v>20</v>
      </c>
      <c r="AD57" s="160">
        <v>16.81111111111111</v>
      </c>
      <c r="AE57" s="160">
        <v>19.733333333333334</v>
      </c>
      <c r="AF57" s="160">
        <v>0</v>
      </c>
      <c r="AG57" s="160">
        <v>0</v>
      </c>
      <c r="AH57" s="160">
        <v>76.466666666666669</v>
      </c>
      <c r="AI57" s="160">
        <v>0</v>
      </c>
      <c r="AJ57" s="160">
        <v>76.466666666666669</v>
      </c>
      <c r="AK57" s="160">
        <v>76.466666666666669</v>
      </c>
      <c r="AL57" s="161">
        <v>11.305555555555555</v>
      </c>
      <c r="AM57" s="161">
        <v>0</v>
      </c>
      <c r="AN57" s="161">
        <v>11.305555555555555</v>
      </c>
      <c r="AO57" s="161">
        <v>76.466666666666669</v>
      </c>
      <c r="AP57" s="162">
        <v>0</v>
      </c>
      <c r="AQ57" s="168">
        <v>0</v>
      </c>
      <c r="AR57" s="160">
        <v>0</v>
      </c>
      <c r="AS57" s="160">
        <v>0</v>
      </c>
      <c r="AT57" s="160">
        <v>0</v>
      </c>
      <c r="AU57" s="160">
        <v>0</v>
      </c>
      <c r="AV57" s="160">
        <v>0</v>
      </c>
      <c r="AW57" s="160">
        <v>0</v>
      </c>
      <c r="AX57" s="160">
        <v>0</v>
      </c>
      <c r="AY57" s="160">
        <v>20</v>
      </c>
      <c r="AZ57" s="160">
        <v>21</v>
      </c>
      <c r="BA57" s="160">
        <v>21</v>
      </c>
      <c r="BB57" s="160">
        <v>17</v>
      </c>
      <c r="BC57" s="160">
        <v>0</v>
      </c>
      <c r="BD57" s="160">
        <v>0</v>
      </c>
      <c r="BE57" s="160">
        <v>79</v>
      </c>
      <c r="BF57" s="160">
        <v>0</v>
      </c>
      <c r="BG57" s="160">
        <v>79</v>
      </c>
      <c r="BH57" s="160">
        <v>79</v>
      </c>
      <c r="BI57" s="160">
        <v>0</v>
      </c>
      <c r="BJ57" s="160">
        <v>0</v>
      </c>
      <c r="BK57" s="160">
        <v>0</v>
      </c>
      <c r="BL57" s="160">
        <v>33</v>
      </c>
      <c r="BM57" s="160">
        <v>14</v>
      </c>
      <c r="BN57" s="162">
        <v>0</v>
      </c>
      <c r="BO57" s="162">
        <v>14</v>
      </c>
      <c r="BP57" s="162">
        <v>0</v>
      </c>
      <c r="BQ57" s="163">
        <v>8.4308821026526259E-2</v>
      </c>
      <c r="BR57" s="164">
        <v>11.923</v>
      </c>
      <c r="BS57" s="164">
        <v>10.923</v>
      </c>
      <c r="BT57" s="164">
        <v>10.923</v>
      </c>
      <c r="BU57" s="164">
        <v>11.923</v>
      </c>
      <c r="BV57" s="165">
        <v>0</v>
      </c>
      <c r="BW57" s="165">
        <v>0</v>
      </c>
      <c r="BX57" s="166">
        <v>0</v>
      </c>
      <c r="BY57" s="166">
        <v>0</v>
      </c>
      <c r="BZ57" s="166">
        <v>0</v>
      </c>
      <c r="CA57" s="166">
        <v>0</v>
      </c>
      <c r="CB57" s="166">
        <v>0</v>
      </c>
      <c r="CC57" s="166">
        <v>0</v>
      </c>
      <c r="CD57" s="166">
        <v>0</v>
      </c>
      <c r="CE57" s="166">
        <v>0</v>
      </c>
      <c r="CF57" s="166">
        <v>0</v>
      </c>
      <c r="CG57" s="166">
        <v>0</v>
      </c>
      <c r="CH57" s="166">
        <v>0</v>
      </c>
      <c r="CI57" s="166">
        <v>0</v>
      </c>
      <c r="CJ57" s="166">
        <v>20.666666666666668</v>
      </c>
      <c r="CK57" s="166">
        <v>20.666666666666668</v>
      </c>
      <c r="CL57" s="166">
        <v>21.05</v>
      </c>
      <c r="CM57" s="166">
        <v>17.511111111111113</v>
      </c>
      <c r="CN57" s="166">
        <v>0</v>
      </c>
      <c r="CO57" s="166">
        <v>0</v>
      </c>
      <c r="CP57" s="166">
        <v>79.894444444444446</v>
      </c>
      <c r="CQ57" s="166">
        <v>0</v>
      </c>
      <c r="CR57" s="166">
        <v>79.894444444444446</v>
      </c>
      <c r="CS57" s="166">
        <v>79.894444444444446</v>
      </c>
      <c r="CT57" s="166">
        <v>14.744444444444399</v>
      </c>
      <c r="CU57" s="166">
        <v>0</v>
      </c>
      <c r="CV57" s="166">
        <v>14.744444444444399</v>
      </c>
      <c r="CW57" s="166">
        <v>79.894444444444446</v>
      </c>
      <c r="CX57" s="166">
        <v>0</v>
      </c>
      <c r="CY57" s="166">
        <v>0</v>
      </c>
      <c r="CZ57" s="165">
        <v>0</v>
      </c>
      <c r="DA57" s="165">
        <v>0</v>
      </c>
      <c r="DB57" s="165">
        <v>0</v>
      </c>
      <c r="DC57" s="165">
        <v>0</v>
      </c>
      <c r="DD57" s="165">
        <v>0</v>
      </c>
      <c r="DE57" s="165">
        <v>0</v>
      </c>
      <c r="DF57" s="165">
        <v>0</v>
      </c>
      <c r="DG57" s="165">
        <v>0</v>
      </c>
      <c r="DH57" s="165">
        <v>0</v>
      </c>
      <c r="DI57" s="165">
        <v>0</v>
      </c>
      <c r="DJ57" s="165">
        <v>22</v>
      </c>
      <c r="DK57" s="165">
        <v>21</v>
      </c>
      <c r="DL57" s="165">
        <v>20</v>
      </c>
      <c r="DM57" s="165">
        <v>19</v>
      </c>
      <c r="DN57" s="165">
        <v>0</v>
      </c>
      <c r="DO57" s="165">
        <v>0</v>
      </c>
      <c r="DP57" s="165">
        <v>82</v>
      </c>
      <c r="DQ57" s="165">
        <v>0</v>
      </c>
      <c r="DR57" s="165">
        <v>82</v>
      </c>
      <c r="DS57" s="165">
        <v>82</v>
      </c>
      <c r="DT57" s="165">
        <v>0</v>
      </c>
      <c r="DU57" s="165">
        <v>31</v>
      </c>
      <c r="DV57" s="165">
        <v>18</v>
      </c>
      <c r="DW57" s="165">
        <v>0</v>
      </c>
      <c r="DX57" s="165">
        <v>18</v>
      </c>
      <c r="DY57" s="165">
        <v>82</v>
      </c>
      <c r="DZ57" s="165">
        <v>0</v>
      </c>
      <c r="EA57" s="166">
        <v>11.423</v>
      </c>
      <c r="EB57" s="166">
        <v>10.423</v>
      </c>
      <c r="EC57" s="166">
        <v>0</v>
      </c>
      <c r="ED57" s="166">
        <v>8.423</v>
      </c>
      <c r="EE57" s="166">
        <v>0</v>
      </c>
      <c r="EF57" s="166">
        <v>12.423</v>
      </c>
      <c r="EG57" s="167">
        <v>8.7500000000000022E-2</v>
      </c>
      <c r="EH57" s="165"/>
      <c r="EI57" s="165">
        <v>0</v>
      </c>
      <c r="EJ57" s="165">
        <v>82</v>
      </c>
      <c r="EK57" s="165">
        <v>0</v>
      </c>
      <c r="EL57" s="165">
        <v>0</v>
      </c>
      <c r="EM57" s="165">
        <v>82</v>
      </c>
      <c r="EN57" s="165">
        <v>82</v>
      </c>
      <c r="EO57" s="165">
        <v>0</v>
      </c>
      <c r="EP57" s="165">
        <v>18</v>
      </c>
      <c r="EQ57" s="165">
        <v>18</v>
      </c>
      <c r="ER57" s="165">
        <v>18</v>
      </c>
      <c r="ES57" s="165">
        <v>0</v>
      </c>
      <c r="ET57" s="165">
        <v>0</v>
      </c>
      <c r="EU57" s="166">
        <v>3</v>
      </c>
      <c r="EV57" s="166">
        <v>0</v>
      </c>
      <c r="EW57" s="166">
        <v>1</v>
      </c>
      <c r="EX57" s="166">
        <v>6</v>
      </c>
      <c r="EY57" s="166">
        <v>3</v>
      </c>
      <c r="EZ57" s="166">
        <v>13</v>
      </c>
      <c r="FA57" s="166">
        <v>0</v>
      </c>
      <c r="FB57" s="166">
        <v>0</v>
      </c>
      <c r="FC57" s="166">
        <v>0</v>
      </c>
      <c r="FD57" s="166">
        <v>0</v>
      </c>
      <c r="FE57" s="166">
        <v>0</v>
      </c>
      <c r="FF57" s="166">
        <v>0</v>
      </c>
      <c r="FG57" s="166">
        <v>0</v>
      </c>
      <c r="FH57" s="166">
        <v>0</v>
      </c>
      <c r="FI57" s="166">
        <v>0</v>
      </c>
      <c r="FJ57" s="166">
        <v>0</v>
      </c>
      <c r="FK57" s="166">
        <v>0</v>
      </c>
      <c r="FL57" s="166">
        <v>21.95</v>
      </c>
      <c r="FM57" s="166">
        <v>21</v>
      </c>
      <c r="FN57" s="166">
        <v>19.833333333333332</v>
      </c>
      <c r="FO57" s="166">
        <v>18.977777777777778</v>
      </c>
      <c r="FP57" s="166">
        <v>0</v>
      </c>
      <c r="FQ57" s="166">
        <v>0</v>
      </c>
      <c r="FR57" s="166">
        <v>81.761111111111106</v>
      </c>
      <c r="FS57" s="166">
        <v>0</v>
      </c>
      <c r="FT57" s="166">
        <v>81.761111111111106</v>
      </c>
      <c r="FU57" s="166">
        <v>81.761111111111106</v>
      </c>
      <c r="FV57" s="166">
        <v>16.05</v>
      </c>
      <c r="FW57" s="166">
        <v>0</v>
      </c>
      <c r="FX57" s="166">
        <v>16.05</v>
      </c>
      <c r="FY57" s="166">
        <v>81.761111111111106</v>
      </c>
      <c r="FZ57" s="165">
        <v>0</v>
      </c>
      <c r="GA57" s="165">
        <v>0</v>
      </c>
      <c r="GB57" s="165">
        <v>0</v>
      </c>
      <c r="GC57" s="165">
        <v>0</v>
      </c>
      <c r="GD57" s="165">
        <v>0</v>
      </c>
      <c r="GE57" s="165">
        <v>0</v>
      </c>
      <c r="GF57" s="165">
        <v>0</v>
      </c>
      <c r="GG57" s="165">
        <v>0</v>
      </c>
      <c r="GH57" s="165">
        <v>0</v>
      </c>
      <c r="GI57" s="165">
        <v>0</v>
      </c>
      <c r="GJ57" s="165">
        <v>0</v>
      </c>
      <c r="GK57" s="165">
        <v>20</v>
      </c>
      <c r="GL57" s="165">
        <v>30</v>
      </c>
      <c r="GM57" s="165">
        <v>29</v>
      </c>
      <c r="GN57" s="165">
        <v>23</v>
      </c>
      <c r="GO57" s="165">
        <v>0</v>
      </c>
      <c r="GP57" s="165">
        <v>0</v>
      </c>
      <c r="GQ57" s="165">
        <v>102</v>
      </c>
      <c r="GR57" s="165">
        <v>0</v>
      </c>
      <c r="GS57" s="165">
        <v>102</v>
      </c>
      <c r="GT57" s="165">
        <v>102</v>
      </c>
      <c r="GU57" s="165">
        <v>0</v>
      </c>
      <c r="GV57" s="165">
        <v>48</v>
      </c>
      <c r="GW57" s="165">
        <v>20</v>
      </c>
      <c r="GX57" s="165">
        <v>0</v>
      </c>
      <c r="GY57" s="165">
        <v>20</v>
      </c>
      <c r="GZ57" s="165">
        <v>102</v>
      </c>
      <c r="HA57" s="165">
        <v>0</v>
      </c>
      <c r="HB57" s="166">
        <v>9</v>
      </c>
      <c r="HC57" s="166">
        <v>8</v>
      </c>
      <c r="HD57" s="166">
        <v>0</v>
      </c>
      <c r="HE57" s="166">
        <v>7</v>
      </c>
      <c r="HF57" s="166"/>
      <c r="HG57" s="166">
        <v>11</v>
      </c>
      <c r="HH57" s="166">
        <v>0</v>
      </c>
      <c r="HI57" s="166">
        <v>20</v>
      </c>
      <c r="HJ57" s="166">
        <v>20</v>
      </c>
      <c r="HK57" s="166">
        <v>20</v>
      </c>
      <c r="HL57" s="166">
        <v>0</v>
      </c>
      <c r="HM57" s="166">
        <v>0</v>
      </c>
      <c r="HN57" s="166">
        <v>0</v>
      </c>
      <c r="HO57" s="166">
        <v>105</v>
      </c>
      <c r="HP57" s="166">
        <v>0</v>
      </c>
      <c r="HQ57" s="166">
        <v>0</v>
      </c>
      <c r="HR57" s="166">
        <v>105</v>
      </c>
      <c r="HS57" s="166">
        <v>105</v>
      </c>
      <c r="HT57" s="166">
        <f>FY26_FE_Data_April15[[#This Row],[Oct 1, 2026 (CDC) - K]]+FY26_FE_Data_April15[[#This Row],[Oct 1, 2026 (CDC) - Grades 1-6]]+FY26_FE_Data_April15[[#This Row],[Oct 1, 2026 (CDC) - Grades 7-8]]</f>
        <v>0</v>
      </c>
      <c r="HU57" s="166">
        <v>0</v>
      </c>
      <c r="HW57" s="170"/>
      <c r="HY57" s="170"/>
    </row>
    <row r="58" spans="1:233" ht="52">
      <c r="A58" s="158">
        <v>93</v>
      </c>
      <c r="B58" s="159" t="s">
        <v>391</v>
      </c>
      <c r="C58" s="160" t="s">
        <v>392</v>
      </c>
      <c r="D58" s="160" t="s">
        <v>139</v>
      </c>
      <c r="E58" s="159" t="s">
        <v>784</v>
      </c>
      <c r="F58" s="159" t="s">
        <v>784</v>
      </c>
      <c r="G58" s="159"/>
      <c r="H58" s="161">
        <v>35.133333333333333</v>
      </c>
      <c r="I58" s="161">
        <v>7.6055555555555552</v>
      </c>
      <c r="J58" s="161">
        <v>42.738888888888887</v>
      </c>
      <c r="K58" s="162">
        <v>22</v>
      </c>
      <c r="L58" s="162">
        <v>147</v>
      </c>
      <c r="M58" s="162">
        <v>15</v>
      </c>
      <c r="N58" s="162">
        <v>0</v>
      </c>
      <c r="O58" s="162">
        <v>184</v>
      </c>
      <c r="P58" s="162">
        <v>162</v>
      </c>
      <c r="Q58" s="162">
        <v>184</v>
      </c>
      <c r="R58" s="162">
        <v>11</v>
      </c>
      <c r="S58" s="160">
        <v>22.488888888888887</v>
      </c>
      <c r="T58" s="160">
        <v>23.716666666666665</v>
      </c>
      <c r="U58" s="160">
        <v>22.083333333333332</v>
      </c>
      <c r="V58" s="160">
        <v>24.266666666666666</v>
      </c>
      <c r="W58" s="160">
        <v>22.255555555555556</v>
      </c>
      <c r="X58" s="160">
        <v>26.68888888888889</v>
      </c>
      <c r="Y58" s="160">
        <v>22.95</v>
      </c>
      <c r="Z58" s="160">
        <v>6.2722222222222221</v>
      </c>
      <c r="AA58" s="160">
        <v>6.5</v>
      </c>
      <c r="AB58" s="160">
        <v>0</v>
      </c>
      <c r="AC58" s="160">
        <v>0</v>
      </c>
      <c r="AD58" s="160">
        <v>0</v>
      </c>
      <c r="AE58" s="160">
        <v>0</v>
      </c>
      <c r="AF58" s="160">
        <v>141.96111111111111</v>
      </c>
      <c r="AG58" s="160">
        <v>12.772222222222222</v>
      </c>
      <c r="AH58" s="160">
        <v>0</v>
      </c>
      <c r="AI58" s="160">
        <v>177.2222222222222</v>
      </c>
      <c r="AJ58" s="160">
        <v>154.73333333333332</v>
      </c>
      <c r="AK58" s="160">
        <v>177.2222222222222</v>
      </c>
      <c r="AL58" s="161">
        <v>40.033333333333331</v>
      </c>
      <c r="AM58" s="161">
        <v>4.4000000000000004</v>
      </c>
      <c r="AN58" s="161">
        <v>44.43333333333333</v>
      </c>
      <c r="AO58" s="161">
        <v>181.62222222222221</v>
      </c>
      <c r="AP58" s="162">
        <v>114</v>
      </c>
      <c r="AQ58" s="168">
        <v>121</v>
      </c>
      <c r="AR58" s="160">
        <v>123</v>
      </c>
      <c r="AS58" s="160">
        <v>126</v>
      </c>
      <c r="AT58" s="160">
        <v>120</v>
      </c>
      <c r="AU58" s="160">
        <v>126</v>
      </c>
      <c r="AV58" s="160">
        <v>99</v>
      </c>
      <c r="AW58" s="160">
        <v>79</v>
      </c>
      <c r="AX58" s="160">
        <v>24</v>
      </c>
      <c r="AY58" s="160">
        <v>0</v>
      </c>
      <c r="AZ58" s="160">
        <v>0</v>
      </c>
      <c r="BA58" s="160">
        <v>0</v>
      </c>
      <c r="BB58" s="160">
        <v>0</v>
      </c>
      <c r="BC58" s="160">
        <v>715</v>
      </c>
      <c r="BD58" s="160">
        <v>103</v>
      </c>
      <c r="BE58" s="160">
        <v>0</v>
      </c>
      <c r="BF58" s="160">
        <v>932</v>
      </c>
      <c r="BG58" s="160">
        <v>818</v>
      </c>
      <c r="BH58" s="160">
        <v>932</v>
      </c>
      <c r="BI58" s="160">
        <v>81</v>
      </c>
      <c r="BJ58" s="160">
        <v>33</v>
      </c>
      <c r="BK58" s="160">
        <v>0</v>
      </c>
      <c r="BL58" s="160">
        <v>213</v>
      </c>
      <c r="BM58" s="160">
        <v>114</v>
      </c>
      <c r="BN58" s="162">
        <v>10</v>
      </c>
      <c r="BO58" s="162">
        <v>124</v>
      </c>
      <c r="BP58" s="162">
        <v>0</v>
      </c>
      <c r="BQ58" s="163">
        <v>6.5619497358732182E-2</v>
      </c>
      <c r="BR58" s="164">
        <v>55.138000000000005</v>
      </c>
      <c r="BS58" s="164">
        <v>52.138000000000005</v>
      </c>
      <c r="BT58" s="164">
        <v>52.138000000000005</v>
      </c>
      <c r="BU58" s="164">
        <v>59.623999999999988</v>
      </c>
      <c r="BV58" s="165">
        <v>0</v>
      </c>
      <c r="BW58" s="165">
        <v>0</v>
      </c>
      <c r="BX58" s="166">
        <v>0</v>
      </c>
      <c r="BY58" s="166">
        <v>34.216665999999996</v>
      </c>
      <c r="BZ58" s="166">
        <v>77.994444000000001</v>
      </c>
      <c r="CA58" s="166">
        <v>112.21111111111111</v>
      </c>
      <c r="CB58" s="166">
        <v>118.55</v>
      </c>
      <c r="CC58" s="166">
        <v>122.43333333333334</v>
      </c>
      <c r="CD58" s="166">
        <v>123.53333333333333</v>
      </c>
      <c r="CE58" s="166">
        <v>120.32777777777778</v>
      </c>
      <c r="CF58" s="166">
        <v>123.54444444444445</v>
      </c>
      <c r="CG58" s="166">
        <v>99.927777777777777</v>
      </c>
      <c r="CH58" s="166">
        <v>78.294444444444451</v>
      </c>
      <c r="CI58" s="166">
        <v>24.661111111111111</v>
      </c>
      <c r="CJ58" s="166">
        <v>0</v>
      </c>
      <c r="CK58" s="166">
        <v>0</v>
      </c>
      <c r="CL58" s="166">
        <v>0</v>
      </c>
      <c r="CM58" s="166">
        <v>0</v>
      </c>
      <c r="CN58" s="166">
        <v>708.31666666666672</v>
      </c>
      <c r="CO58" s="166">
        <v>102.95555555555556</v>
      </c>
      <c r="CP58" s="166">
        <v>0</v>
      </c>
      <c r="CQ58" s="166">
        <v>923.48333333333346</v>
      </c>
      <c r="CR58" s="166">
        <v>811.27222222222235</v>
      </c>
      <c r="CS58" s="166">
        <v>923.48333333333346</v>
      </c>
      <c r="CT58" s="166">
        <v>129.333333333333</v>
      </c>
      <c r="CU58" s="166">
        <v>4.4777777777777796</v>
      </c>
      <c r="CV58" s="166">
        <v>133.81111111111079</v>
      </c>
      <c r="CW58" s="166">
        <v>927.96111111111122</v>
      </c>
      <c r="CX58" s="166">
        <v>0</v>
      </c>
      <c r="CY58" s="166">
        <v>128</v>
      </c>
      <c r="CZ58" s="165">
        <v>18</v>
      </c>
      <c r="DA58" s="165">
        <v>146</v>
      </c>
      <c r="DB58" s="165">
        <v>116</v>
      </c>
      <c r="DC58" s="165">
        <v>125</v>
      </c>
      <c r="DD58" s="165">
        <v>128</v>
      </c>
      <c r="DE58" s="165">
        <v>123</v>
      </c>
      <c r="DF58" s="165">
        <v>122</v>
      </c>
      <c r="DG58" s="165">
        <v>127</v>
      </c>
      <c r="DH58" s="165">
        <v>91</v>
      </c>
      <c r="DI58" s="165">
        <v>68</v>
      </c>
      <c r="DJ58" s="165">
        <v>0</v>
      </c>
      <c r="DK58" s="165">
        <v>0</v>
      </c>
      <c r="DL58" s="165">
        <v>0</v>
      </c>
      <c r="DM58" s="165">
        <v>0</v>
      </c>
      <c r="DN58" s="165">
        <v>741</v>
      </c>
      <c r="DO58" s="165">
        <v>159</v>
      </c>
      <c r="DP58" s="165">
        <v>0</v>
      </c>
      <c r="DQ58" s="165">
        <v>1046</v>
      </c>
      <c r="DR58" s="165">
        <v>900</v>
      </c>
      <c r="DS58" s="165">
        <v>1046</v>
      </c>
      <c r="DT58" s="165">
        <v>0</v>
      </c>
      <c r="DU58" s="165">
        <v>211</v>
      </c>
      <c r="DV58" s="165">
        <v>145</v>
      </c>
      <c r="DW58" s="165">
        <v>7</v>
      </c>
      <c r="DX58" s="165">
        <v>152</v>
      </c>
      <c r="DY58" s="165">
        <v>1053</v>
      </c>
      <c r="DZ58" s="165">
        <v>0</v>
      </c>
      <c r="EA58" s="166">
        <v>62.342999999999996</v>
      </c>
      <c r="EB58" s="166">
        <v>61.442999999999998</v>
      </c>
      <c r="EC58" s="166">
        <v>47.455000000000005</v>
      </c>
      <c r="ED58" s="166">
        <v>11.828000000000001</v>
      </c>
      <c r="EE58" s="166">
        <v>0</v>
      </c>
      <c r="EF58" s="166">
        <v>66.718000000000004</v>
      </c>
      <c r="EG58" s="167">
        <v>4.4255414897571954E-2</v>
      </c>
      <c r="EH58" s="165"/>
      <c r="EI58" s="165">
        <v>130</v>
      </c>
      <c r="EJ58" s="165">
        <v>957</v>
      </c>
      <c r="EK58" s="165">
        <v>779</v>
      </c>
      <c r="EL58" s="165">
        <v>178</v>
      </c>
      <c r="EM58" s="165">
        <v>0</v>
      </c>
      <c r="EN58" s="165">
        <v>1087</v>
      </c>
      <c r="EO58" s="165">
        <v>0</v>
      </c>
      <c r="EP58" s="165">
        <v>169</v>
      </c>
      <c r="EQ58" s="165">
        <v>169</v>
      </c>
      <c r="ER58" s="165">
        <v>165</v>
      </c>
      <c r="ES58" s="165">
        <v>4</v>
      </c>
      <c r="ET58" s="165">
        <v>3</v>
      </c>
      <c r="EU58" s="166">
        <v>31.771000000000001</v>
      </c>
      <c r="EV58" s="166">
        <v>0.72</v>
      </c>
      <c r="EW58" s="166">
        <v>1.72</v>
      </c>
      <c r="EX58" s="166">
        <v>1.94</v>
      </c>
      <c r="EY58" s="166">
        <v>11.86</v>
      </c>
      <c r="EZ58" s="166">
        <v>48.010999999999996</v>
      </c>
      <c r="FA58" s="166">
        <v>14.927777777777777</v>
      </c>
      <c r="FB58" s="166">
        <v>125.03888888888889</v>
      </c>
      <c r="FC58" s="166">
        <v>139.96666666666667</v>
      </c>
      <c r="FD58" s="166">
        <v>114.22222222222223</v>
      </c>
      <c r="FE58" s="166">
        <v>122.61666666666666</v>
      </c>
      <c r="FF58" s="166">
        <v>126.32222222222222</v>
      </c>
      <c r="FG58" s="166">
        <v>121.2</v>
      </c>
      <c r="FH58" s="166">
        <v>120.2</v>
      </c>
      <c r="FI58" s="166">
        <v>123.9</v>
      </c>
      <c r="FJ58" s="166">
        <v>86.455555555555549</v>
      </c>
      <c r="FK58" s="166">
        <v>64.272222222222226</v>
      </c>
      <c r="FL58" s="166">
        <v>0</v>
      </c>
      <c r="FM58" s="166">
        <v>0</v>
      </c>
      <c r="FN58" s="166">
        <v>0</v>
      </c>
      <c r="FO58" s="166">
        <v>0</v>
      </c>
      <c r="FP58" s="166">
        <v>728.46111111111111</v>
      </c>
      <c r="FQ58" s="166">
        <v>150.72777777777776</v>
      </c>
      <c r="FR58" s="166">
        <v>0</v>
      </c>
      <c r="FS58" s="166">
        <v>1019.1555555555556</v>
      </c>
      <c r="FT58" s="166">
        <v>879.18888888888887</v>
      </c>
      <c r="FU58" s="166">
        <v>1019.1555555555556</v>
      </c>
      <c r="FV58" s="166">
        <v>162.4111111111111</v>
      </c>
      <c r="FW58" s="166">
        <v>3.9166666666666665</v>
      </c>
      <c r="FX58" s="166">
        <v>166.32777777777775</v>
      </c>
      <c r="FY58" s="166">
        <v>1023.0722222222222</v>
      </c>
      <c r="FZ58" s="165">
        <v>44</v>
      </c>
      <c r="GA58" s="165">
        <v>94</v>
      </c>
      <c r="GB58" s="165">
        <v>138</v>
      </c>
      <c r="GC58" s="165">
        <v>152</v>
      </c>
      <c r="GD58" s="165">
        <v>143</v>
      </c>
      <c r="GE58" s="165">
        <v>128</v>
      </c>
      <c r="GF58" s="165">
        <v>132</v>
      </c>
      <c r="GG58" s="165">
        <v>125</v>
      </c>
      <c r="GH58" s="165">
        <v>122</v>
      </c>
      <c r="GI58" s="165">
        <v>83</v>
      </c>
      <c r="GJ58" s="165">
        <v>66</v>
      </c>
      <c r="GK58" s="165">
        <v>0</v>
      </c>
      <c r="GL58" s="165">
        <v>0</v>
      </c>
      <c r="GM58" s="165">
        <v>0</v>
      </c>
      <c r="GN58" s="165">
        <v>0</v>
      </c>
      <c r="GO58" s="165">
        <v>802</v>
      </c>
      <c r="GP58" s="165">
        <v>149</v>
      </c>
      <c r="GQ58" s="165">
        <v>0</v>
      </c>
      <c r="GR58" s="165">
        <v>1089</v>
      </c>
      <c r="GS58" s="165">
        <v>951</v>
      </c>
      <c r="GT58" s="165">
        <v>1089</v>
      </c>
      <c r="GU58" s="165">
        <v>0</v>
      </c>
      <c r="GV58" s="165">
        <v>198</v>
      </c>
      <c r="GW58" s="165">
        <v>148</v>
      </c>
      <c r="GX58" s="165">
        <v>8</v>
      </c>
      <c r="GY58" s="165">
        <v>156</v>
      </c>
      <c r="GZ58" s="165">
        <v>1097</v>
      </c>
      <c r="HA58" s="165">
        <v>54</v>
      </c>
      <c r="HB58" s="166">
        <v>63.92199999999999</v>
      </c>
      <c r="HC58" s="166">
        <v>63.021999999999998</v>
      </c>
      <c r="HD58" s="166">
        <v>52.721999999999994</v>
      </c>
      <c r="HE58" s="166">
        <v>8.68</v>
      </c>
      <c r="HF58" s="166"/>
      <c r="HG58" s="166">
        <v>69.272000000000006</v>
      </c>
      <c r="HH58" s="166">
        <v>0</v>
      </c>
      <c r="HI58" s="166">
        <v>174</v>
      </c>
      <c r="HJ58" s="166">
        <v>174</v>
      </c>
      <c r="HK58" s="166">
        <v>164</v>
      </c>
      <c r="HL58" s="166">
        <v>10</v>
      </c>
      <c r="HM58" s="166">
        <v>6</v>
      </c>
      <c r="HN58" s="166">
        <v>168</v>
      </c>
      <c r="HO58" s="166">
        <v>1351</v>
      </c>
      <c r="HP58" s="166">
        <v>1008</v>
      </c>
      <c r="HQ58" s="166">
        <v>343</v>
      </c>
      <c r="HR58" s="166">
        <v>0</v>
      </c>
      <c r="HS58" s="166">
        <v>1519</v>
      </c>
      <c r="HT58" s="166">
        <f>FY26_FE_Data_April15[[#This Row],[Oct 1, 2026 (CDC) - K]]+FY26_FE_Data_April15[[#This Row],[Oct 1, 2026 (CDC) - Grades 1-6]]+FY26_FE_Data_April15[[#This Row],[Oct 1, 2026 (CDC) - Grades 7-8]]</f>
        <v>1519</v>
      </c>
      <c r="HU58" s="166">
        <v>0</v>
      </c>
      <c r="HW58" s="170"/>
      <c r="HY58" s="170"/>
    </row>
    <row r="59" spans="1:233" ht="52">
      <c r="A59" s="158">
        <v>94</v>
      </c>
      <c r="B59" s="159" t="s">
        <v>393</v>
      </c>
      <c r="C59" s="160" t="s">
        <v>394</v>
      </c>
      <c r="D59" s="160" t="s">
        <v>139</v>
      </c>
      <c r="E59" s="159" t="s">
        <v>784</v>
      </c>
      <c r="F59" s="159" t="s">
        <v>784</v>
      </c>
      <c r="G59" s="159"/>
      <c r="H59" s="161">
        <v>214.88333333333333</v>
      </c>
      <c r="I59" s="161">
        <v>54.527777777777779</v>
      </c>
      <c r="J59" s="161">
        <v>269.4111111111111</v>
      </c>
      <c r="K59" s="162">
        <v>142</v>
      </c>
      <c r="L59" s="162">
        <v>811</v>
      </c>
      <c r="M59" s="162">
        <v>265</v>
      </c>
      <c r="N59" s="162">
        <v>0</v>
      </c>
      <c r="O59" s="162">
        <v>1218</v>
      </c>
      <c r="P59" s="162">
        <v>1076</v>
      </c>
      <c r="Q59" s="162">
        <v>1218</v>
      </c>
      <c r="R59" s="162">
        <v>33</v>
      </c>
      <c r="S59" s="160">
        <v>141.98888888888888</v>
      </c>
      <c r="T59" s="160">
        <v>140.07222222222222</v>
      </c>
      <c r="U59" s="160">
        <v>132.99444444444444</v>
      </c>
      <c r="V59" s="160">
        <v>118.08333333333333</v>
      </c>
      <c r="W59" s="160">
        <v>140.27777777777777</v>
      </c>
      <c r="X59" s="160">
        <v>130.36111111111111</v>
      </c>
      <c r="Y59" s="160">
        <v>133.12222222222223</v>
      </c>
      <c r="Z59" s="160">
        <v>141.80555555555554</v>
      </c>
      <c r="AA59" s="160">
        <v>118.74444444444444</v>
      </c>
      <c r="AB59" s="160">
        <v>0</v>
      </c>
      <c r="AC59" s="160">
        <v>0</v>
      </c>
      <c r="AD59" s="160">
        <v>0</v>
      </c>
      <c r="AE59" s="160">
        <v>0</v>
      </c>
      <c r="AF59" s="160">
        <v>794.91111111111104</v>
      </c>
      <c r="AG59" s="160">
        <v>260.54999999999995</v>
      </c>
      <c r="AH59" s="160">
        <v>0</v>
      </c>
      <c r="AI59" s="160">
        <v>1197.4500000000003</v>
      </c>
      <c r="AJ59" s="160">
        <v>1055.461111111111</v>
      </c>
      <c r="AK59" s="160">
        <v>1197.4500000000003</v>
      </c>
      <c r="AL59" s="161">
        <v>235.47222222222223</v>
      </c>
      <c r="AM59" s="161">
        <v>8.9777777777777779</v>
      </c>
      <c r="AN59" s="161">
        <v>244.45000000000002</v>
      </c>
      <c r="AO59" s="161">
        <v>1206.4277777777781</v>
      </c>
      <c r="AP59" s="162">
        <v>132</v>
      </c>
      <c r="AQ59" s="168">
        <v>134</v>
      </c>
      <c r="AR59" s="160">
        <v>141</v>
      </c>
      <c r="AS59" s="160">
        <v>131</v>
      </c>
      <c r="AT59" s="160">
        <v>118</v>
      </c>
      <c r="AU59" s="160">
        <v>143</v>
      </c>
      <c r="AV59" s="160">
        <v>134</v>
      </c>
      <c r="AW59" s="160">
        <v>130</v>
      </c>
      <c r="AX59" s="160">
        <v>140</v>
      </c>
      <c r="AY59" s="160">
        <v>0</v>
      </c>
      <c r="AZ59" s="160">
        <v>0</v>
      </c>
      <c r="BA59" s="160">
        <v>0</v>
      </c>
      <c r="BB59" s="160">
        <v>0</v>
      </c>
      <c r="BC59" s="160">
        <v>801</v>
      </c>
      <c r="BD59" s="160">
        <v>270</v>
      </c>
      <c r="BE59" s="160">
        <v>0</v>
      </c>
      <c r="BF59" s="160">
        <v>1203</v>
      </c>
      <c r="BG59" s="160">
        <v>1071</v>
      </c>
      <c r="BH59" s="160">
        <v>1203</v>
      </c>
      <c r="BI59" s="160">
        <v>27</v>
      </c>
      <c r="BJ59" s="160">
        <v>105</v>
      </c>
      <c r="BK59" s="160">
        <v>0</v>
      </c>
      <c r="BL59" s="160">
        <v>299</v>
      </c>
      <c r="BM59" s="160">
        <v>208</v>
      </c>
      <c r="BN59" s="162">
        <v>5</v>
      </c>
      <c r="BO59" s="162">
        <v>213</v>
      </c>
      <c r="BP59" s="162">
        <v>76</v>
      </c>
      <c r="BQ59" s="163">
        <v>7.3805059806341389E-2</v>
      </c>
      <c r="BR59" s="164">
        <v>69.510000000000005</v>
      </c>
      <c r="BS59" s="164">
        <v>66.509999999999991</v>
      </c>
      <c r="BT59" s="164">
        <v>60.91</v>
      </c>
      <c r="BU59" s="164">
        <v>70.209999999999994</v>
      </c>
      <c r="BV59" s="165">
        <v>0</v>
      </c>
      <c r="BW59" s="165">
        <v>0</v>
      </c>
      <c r="BX59" s="166">
        <v>0</v>
      </c>
      <c r="BY59" s="166">
        <v>102.922222</v>
      </c>
      <c r="BZ59" s="166">
        <v>25.727777</v>
      </c>
      <c r="CA59" s="166">
        <v>128.65</v>
      </c>
      <c r="CB59" s="166">
        <v>132.67222222222222</v>
      </c>
      <c r="CC59" s="166">
        <v>139.85555555555555</v>
      </c>
      <c r="CD59" s="166">
        <v>128.87222222222223</v>
      </c>
      <c r="CE59" s="166">
        <v>118.28888888888889</v>
      </c>
      <c r="CF59" s="166">
        <v>142.25555555555556</v>
      </c>
      <c r="CG59" s="166">
        <v>134.21111111111111</v>
      </c>
      <c r="CH59" s="166">
        <v>128.60555555555555</v>
      </c>
      <c r="CI59" s="166">
        <v>138.37222222222223</v>
      </c>
      <c r="CJ59" s="166">
        <v>0</v>
      </c>
      <c r="CK59" s="166">
        <v>0</v>
      </c>
      <c r="CL59" s="166">
        <v>0</v>
      </c>
      <c r="CM59" s="166">
        <v>0</v>
      </c>
      <c r="CN59" s="166">
        <v>796.15555555555557</v>
      </c>
      <c r="CO59" s="166">
        <v>266.97777777777776</v>
      </c>
      <c r="CP59" s="166">
        <v>0</v>
      </c>
      <c r="CQ59" s="166">
        <v>1191.7833333333333</v>
      </c>
      <c r="CR59" s="166">
        <v>1063.1333333333334</v>
      </c>
      <c r="CS59" s="166">
        <v>1191.7833333333333</v>
      </c>
      <c r="CT59" s="166">
        <v>238.03888888888901</v>
      </c>
      <c r="CU59" s="166">
        <v>2.7111111111111099</v>
      </c>
      <c r="CV59" s="166">
        <v>240.75000000000011</v>
      </c>
      <c r="CW59" s="166">
        <v>1194.4944444444445</v>
      </c>
      <c r="CX59" s="166">
        <v>0</v>
      </c>
      <c r="CY59" s="166">
        <v>111</v>
      </c>
      <c r="CZ59" s="165">
        <v>22</v>
      </c>
      <c r="DA59" s="165">
        <v>133</v>
      </c>
      <c r="DB59" s="165">
        <v>127</v>
      </c>
      <c r="DC59" s="165">
        <v>128</v>
      </c>
      <c r="DD59" s="165">
        <v>145</v>
      </c>
      <c r="DE59" s="165">
        <v>126</v>
      </c>
      <c r="DF59" s="165">
        <v>126</v>
      </c>
      <c r="DG59" s="165">
        <v>139</v>
      </c>
      <c r="DH59" s="165">
        <v>134</v>
      </c>
      <c r="DI59" s="165">
        <v>131</v>
      </c>
      <c r="DJ59" s="165">
        <v>0</v>
      </c>
      <c r="DK59" s="165">
        <v>0</v>
      </c>
      <c r="DL59" s="165">
        <v>0</v>
      </c>
      <c r="DM59" s="165">
        <v>0</v>
      </c>
      <c r="DN59" s="165">
        <v>791</v>
      </c>
      <c r="DO59" s="165">
        <v>265</v>
      </c>
      <c r="DP59" s="165">
        <v>0</v>
      </c>
      <c r="DQ59" s="165">
        <v>1189</v>
      </c>
      <c r="DR59" s="165">
        <v>1056</v>
      </c>
      <c r="DS59" s="165">
        <v>1189</v>
      </c>
      <c r="DT59" s="165">
        <v>0</v>
      </c>
      <c r="DU59" s="165">
        <v>293</v>
      </c>
      <c r="DV59" s="165">
        <v>214</v>
      </c>
      <c r="DW59" s="165">
        <v>3</v>
      </c>
      <c r="DX59" s="165">
        <v>217</v>
      </c>
      <c r="DY59" s="165">
        <v>1192</v>
      </c>
      <c r="DZ59" s="165">
        <v>92</v>
      </c>
      <c r="EA59" s="166">
        <v>77.405000000000015</v>
      </c>
      <c r="EB59" s="166">
        <v>72.655000000000001</v>
      </c>
      <c r="EC59" s="166">
        <v>41.707999999999998</v>
      </c>
      <c r="ED59" s="166">
        <v>20.521999999999998</v>
      </c>
      <c r="EE59" s="166">
        <v>0</v>
      </c>
      <c r="EF59" s="166">
        <v>78.404999999999987</v>
      </c>
      <c r="EG59" s="167">
        <v>7.2563043798849758E-2</v>
      </c>
      <c r="EH59" s="165"/>
      <c r="EI59" s="165">
        <v>130</v>
      </c>
      <c r="EJ59" s="165">
        <v>1050</v>
      </c>
      <c r="EK59" s="165">
        <v>834</v>
      </c>
      <c r="EL59" s="165">
        <v>216</v>
      </c>
      <c r="EM59" s="165">
        <v>0</v>
      </c>
      <c r="EN59" s="165">
        <v>1180</v>
      </c>
      <c r="EO59" s="165">
        <v>0</v>
      </c>
      <c r="EP59" s="165">
        <v>221</v>
      </c>
      <c r="EQ59" s="165">
        <v>221</v>
      </c>
      <c r="ER59" s="165">
        <v>219</v>
      </c>
      <c r="ES59" s="165">
        <v>2</v>
      </c>
      <c r="ET59" s="165">
        <v>2</v>
      </c>
      <c r="EU59" s="166">
        <v>49.8</v>
      </c>
      <c r="EV59" s="166">
        <v>0.4</v>
      </c>
      <c r="EW59" s="166">
        <v>7.2</v>
      </c>
      <c r="EX59" s="166">
        <v>0.4</v>
      </c>
      <c r="EY59" s="166">
        <v>6.2</v>
      </c>
      <c r="EZ59" s="166">
        <v>64</v>
      </c>
      <c r="FA59" s="166">
        <v>26.805555555555557</v>
      </c>
      <c r="FB59" s="166">
        <v>105.92777777777778</v>
      </c>
      <c r="FC59" s="166">
        <v>132.73333333333332</v>
      </c>
      <c r="FD59" s="166">
        <v>123.88333333333334</v>
      </c>
      <c r="FE59" s="166">
        <v>127.57222222222222</v>
      </c>
      <c r="FF59" s="166">
        <v>140.20555555555555</v>
      </c>
      <c r="FG59" s="166">
        <v>123.58333333333333</v>
      </c>
      <c r="FH59" s="166">
        <v>123.42777777777778</v>
      </c>
      <c r="FI59" s="166">
        <v>137.64444444444445</v>
      </c>
      <c r="FJ59" s="166">
        <v>131.00555555555556</v>
      </c>
      <c r="FK59" s="166">
        <v>128.9111111111111</v>
      </c>
      <c r="FL59" s="166">
        <v>0</v>
      </c>
      <c r="FM59" s="166">
        <v>0</v>
      </c>
      <c r="FN59" s="166">
        <v>0</v>
      </c>
      <c r="FO59" s="166">
        <v>0</v>
      </c>
      <c r="FP59" s="166">
        <v>776.31666666666683</v>
      </c>
      <c r="FQ59" s="166">
        <v>259.91666666666663</v>
      </c>
      <c r="FR59" s="166">
        <v>0</v>
      </c>
      <c r="FS59" s="166">
        <v>1168.9666666666665</v>
      </c>
      <c r="FT59" s="166">
        <v>1036.2333333333336</v>
      </c>
      <c r="FU59" s="166">
        <v>1168.9666666666665</v>
      </c>
      <c r="FV59" s="166">
        <v>226.27777777777777</v>
      </c>
      <c r="FW59" s="166">
        <v>2.4166666666666665</v>
      </c>
      <c r="FX59" s="166">
        <v>228.69444444444443</v>
      </c>
      <c r="FY59" s="166">
        <v>1171.3833333333332</v>
      </c>
      <c r="FZ59" s="165">
        <v>28</v>
      </c>
      <c r="GA59" s="165">
        <v>85</v>
      </c>
      <c r="GB59" s="165">
        <v>113</v>
      </c>
      <c r="GC59" s="165">
        <v>122</v>
      </c>
      <c r="GD59" s="165">
        <v>117</v>
      </c>
      <c r="GE59" s="165">
        <v>134</v>
      </c>
      <c r="GF59" s="165">
        <v>138</v>
      </c>
      <c r="GG59" s="165">
        <v>135</v>
      </c>
      <c r="GH59" s="165">
        <v>124</v>
      </c>
      <c r="GI59" s="165">
        <v>136</v>
      </c>
      <c r="GJ59" s="165">
        <v>129</v>
      </c>
      <c r="GK59" s="165">
        <v>0</v>
      </c>
      <c r="GL59" s="165">
        <v>0</v>
      </c>
      <c r="GM59" s="165">
        <v>0</v>
      </c>
      <c r="GN59" s="165">
        <v>0</v>
      </c>
      <c r="GO59" s="165">
        <v>770</v>
      </c>
      <c r="GP59" s="165">
        <v>265</v>
      </c>
      <c r="GQ59" s="165">
        <v>0</v>
      </c>
      <c r="GR59" s="165">
        <v>1148</v>
      </c>
      <c r="GS59" s="165">
        <v>1035</v>
      </c>
      <c r="GT59" s="165">
        <v>1148</v>
      </c>
      <c r="GU59" s="165">
        <v>0</v>
      </c>
      <c r="GV59" s="165">
        <v>266</v>
      </c>
      <c r="GW59" s="165">
        <v>228</v>
      </c>
      <c r="GX59" s="165">
        <v>2</v>
      </c>
      <c r="GY59" s="165">
        <v>230</v>
      </c>
      <c r="GZ59" s="165">
        <v>1150</v>
      </c>
      <c r="HA59" s="165">
        <v>84</v>
      </c>
      <c r="HB59" s="166">
        <v>76.995000000000005</v>
      </c>
      <c r="HC59" s="166">
        <v>72.245000000000005</v>
      </c>
      <c r="HD59" s="166">
        <v>40.419999999999995</v>
      </c>
      <c r="HE59" s="166">
        <v>22.2</v>
      </c>
      <c r="HF59" s="166"/>
      <c r="HG59" s="166">
        <v>76.995000000000005</v>
      </c>
      <c r="HH59" s="166">
        <v>0</v>
      </c>
      <c r="HI59" s="166">
        <v>241</v>
      </c>
      <c r="HJ59" s="166">
        <v>241</v>
      </c>
      <c r="HK59" s="166">
        <v>239</v>
      </c>
      <c r="HL59" s="166">
        <v>2</v>
      </c>
      <c r="HM59" s="166">
        <v>2</v>
      </c>
      <c r="HN59" s="166">
        <v>121</v>
      </c>
      <c r="HO59" s="166">
        <v>1039</v>
      </c>
      <c r="HP59" s="166">
        <v>785</v>
      </c>
      <c r="HQ59" s="166">
        <v>254</v>
      </c>
      <c r="HR59" s="166">
        <v>0</v>
      </c>
      <c r="HS59" s="166">
        <v>1160</v>
      </c>
      <c r="HT59" s="166">
        <f>FY26_FE_Data_April15[[#This Row],[Oct 1, 2026 (CDC) - K]]+FY26_FE_Data_April15[[#This Row],[Oct 1, 2026 (CDC) - Grades 1-6]]+FY26_FE_Data_April15[[#This Row],[Oct 1, 2026 (CDC) - Grades 7-8]]</f>
        <v>1160</v>
      </c>
      <c r="HU59" s="166">
        <v>0</v>
      </c>
      <c r="HW59" s="170"/>
      <c r="HY59" s="170"/>
    </row>
    <row r="60" spans="1:233" ht="26">
      <c r="A60" s="158">
        <v>95</v>
      </c>
      <c r="B60" s="159" t="s">
        <v>395</v>
      </c>
      <c r="C60" s="160" t="s">
        <v>396</v>
      </c>
      <c r="D60" s="160" t="s">
        <v>139</v>
      </c>
      <c r="E60" s="159" t="s">
        <v>784</v>
      </c>
      <c r="F60" s="159" t="s">
        <v>784</v>
      </c>
      <c r="G60" s="159"/>
      <c r="H60" s="161">
        <v>76.083333333333329</v>
      </c>
      <c r="I60" s="161">
        <v>7.8611111111111107</v>
      </c>
      <c r="J60" s="161">
        <v>83.944444444444443</v>
      </c>
      <c r="K60" s="162">
        <v>68</v>
      </c>
      <c r="L60" s="162">
        <v>452</v>
      </c>
      <c r="M60" s="162">
        <v>0</v>
      </c>
      <c r="N60" s="162">
        <v>0</v>
      </c>
      <c r="O60" s="162">
        <v>520</v>
      </c>
      <c r="P60" s="162">
        <v>452</v>
      </c>
      <c r="Q60" s="162">
        <v>520</v>
      </c>
      <c r="R60" s="162">
        <v>6</v>
      </c>
      <c r="S60" s="160">
        <v>66.25555555555556</v>
      </c>
      <c r="T60" s="160">
        <v>73.522222222222226</v>
      </c>
      <c r="U60" s="160">
        <v>74.87222222222222</v>
      </c>
      <c r="V60" s="160">
        <v>74.477777777777774</v>
      </c>
      <c r="W60" s="160">
        <v>72.522222222222226</v>
      </c>
      <c r="X60" s="160">
        <v>72.083333333333329</v>
      </c>
      <c r="Y60" s="160">
        <v>72.266666666666666</v>
      </c>
      <c r="Z60" s="160">
        <v>0</v>
      </c>
      <c r="AA60" s="160">
        <v>0</v>
      </c>
      <c r="AB60" s="160">
        <v>0</v>
      </c>
      <c r="AC60" s="160">
        <v>0</v>
      </c>
      <c r="AD60" s="160">
        <v>0</v>
      </c>
      <c r="AE60" s="160">
        <v>0</v>
      </c>
      <c r="AF60" s="160">
        <v>439.74444444444441</v>
      </c>
      <c r="AG60" s="160">
        <v>0</v>
      </c>
      <c r="AH60" s="160">
        <v>0</v>
      </c>
      <c r="AI60" s="160">
        <v>505.99999999999994</v>
      </c>
      <c r="AJ60" s="160">
        <v>439.74444444444441</v>
      </c>
      <c r="AK60" s="160">
        <v>505.99999999999994</v>
      </c>
      <c r="AL60" s="161">
        <v>72.594444444444449</v>
      </c>
      <c r="AM60" s="161">
        <v>7</v>
      </c>
      <c r="AN60" s="161">
        <v>79.594444444444449</v>
      </c>
      <c r="AO60" s="161">
        <v>513</v>
      </c>
      <c r="AP60" s="162">
        <v>72</v>
      </c>
      <c r="AQ60" s="168">
        <v>67</v>
      </c>
      <c r="AR60" s="160">
        <v>78</v>
      </c>
      <c r="AS60" s="160">
        <v>75</v>
      </c>
      <c r="AT60" s="160">
        <v>72</v>
      </c>
      <c r="AU60" s="160">
        <v>76</v>
      </c>
      <c r="AV60" s="160">
        <v>74</v>
      </c>
      <c r="AW60" s="160">
        <v>0</v>
      </c>
      <c r="AX60" s="160">
        <v>0</v>
      </c>
      <c r="AY60" s="160">
        <v>0</v>
      </c>
      <c r="AZ60" s="160">
        <v>0</v>
      </c>
      <c r="BA60" s="160">
        <v>0</v>
      </c>
      <c r="BB60" s="160">
        <v>0</v>
      </c>
      <c r="BC60" s="160">
        <v>442</v>
      </c>
      <c r="BD60" s="160">
        <v>0</v>
      </c>
      <c r="BE60" s="160">
        <v>0</v>
      </c>
      <c r="BF60" s="160">
        <v>514</v>
      </c>
      <c r="BG60" s="160">
        <v>442</v>
      </c>
      <c r="BH60" s="160">
        <v>514</v>
      </c>
      <c r="BI60" s="160">
        <v>0</v>
      </c>
      <c r="BJ60" s="160">
        <v>72</v>
      </c>
      <c r="BK60" s="160">
        <v>0</v>
      </c>
      <c r="BL60" s="160">
        <v>26</v>
      </c>
      <c r="BM60" s="160">
        <v>68</v>
      </c>
      <c r="BN60" s="162">
        <v>8</v>
      </c>
      <c r="BO60" s="162">
        <v>76</v>
      </c>
      <c r="BP60" s="162">
        <v>9</v>
      </c>
      <c r="BQ60" s="163">
        <v>7.5382761553728528E-2</v>
      </c>
      <c r="BR60" s="164">
        <v>25.689</v>
      </c>
      <c r="BS60" s="164">
        <v>24.689</v>
      </c>
      <c r="BT60" s="164">
        <v>24.689</v>
      </c>
      <c r="BU60" s="164">
        <v>25.689</v>
      </c>
      <c r="BV60" s="165">
        <v>0</v>
      </c>
      <c r="BW60" s="165">
        <v>0</v>
      </c>
      <c r="BX60" s="166">
        <v>0</v>
      </c>
      <c r="BY60" s="166">
        <v>72.594443999999996</v>
      </c>
      <c r="BZ60" s="166">
        <v>0</v>
      </c>
      <c r="CA60" s="166">
        <v>72.594444444444449</v>
      </c>
      <c r="CB60" s="166">
        <v>65.2</v>
      </c>
      <c r="CC60" s="166">
        <v>76.305555555555557</v>
      </c>
      <c r="CD60" s="166">
        <v>74.927777777777777</v>
      </c>
      <c r="CE60" s="166">
        <v>69.87222222222222</v>
      </c>
      <c r="CF60" s="166">
        <v>73.816666666666663</v>
      </c>
      <c r="CG60" s="166">
        <v>68.62222222222222</v>
      </c>
      <c r="CH60" s="166">
        <v>0</v>
      </c>
      <c r="CI60" s="166">
        <v>0</v>
      </c>
      <c r="CJ60" s="166">
        <v>0</v>
      </c>
      <c r="CK60" s="166">
        <v>0</v>
      </c>
      <c r="CL60" s="166">
        <v>0</v>
      </c>
      <c r="CM60" s="166">
        <v>0</v>
      </c>
      <c r="CN60" s="166">
        <v>428.74444444444441</v>
      </c>
      <c r="CO60" s="166">
        <v>0</v>
      </c>
      <c r="CP60" s="166">
        <v>0</v>
      </c>
      <c r="CQ60" s="166">
        <v>501.3388888888889</v>
      </c>
      <c r="CR60" s="166">
        <v>428.74444444444441</v>
      </c>
      <c r="CS60" s="166">
        <v>501.3388888888889</v>
      </c>
      <c r="CT60" s="166">
        <v>75.616666666666703</v>
      </c>
      <c r="CU60" s="166">
        <v>7</v>
      </c>
      <c r="CV60" s="166">
        <v>82.616666666666703</v>
      </c>
      <c r="CW60" s="166">
        <v>508.3388888888889</v>
      </c>
      <c r="CX60" s="166">
        <v>0</v>
      </c>
      <c r="CY60" s="166">
        <v>0</v>
      </c>
      <c r="CZ60" s="165">
        <v>61</v>
      </c>
      <c r="DA60" s="165">
        <v>61</v>
      </c>
      <c r="DB60" s="165">
        <v>72</v>
      </c>
      <c r="DC60" s="165">
        <v>69</v>
      </c>
      <c r="DD60" s="165">
        <v>76</v>
      </c>
      <c r="DE60" s="165">
        <v>74</v>
      </c>
      <c r="DF60" s="165">
        <v>71</v>
      </c>
      <c r="DG60" s="165">
        <v>67</v>
      </c>
      <c r="DH60" s="165">
        <v>0</v>
      </c>
      <c r="DI60" s="165">
        <v>0</v>
      </c>
      <c r="DJ60" s="165">
        <v>0</v>
      </c>
      <c r="DK60" s="165">
        <v>0</v>
      </c>
      <c r="DL60" s="165">
        <v>0</v>
      </c>
      <c r="DM60" s="165">
        <v>0</v>
      </c>
      <c r="DN60" s="165">
        <v>429</v>
      </c>
      <c r="DO60" s="165">
        <v>0</v>
      </c>
      <c r="DP60" s="165">
        <v>0</v>
      </c>
      <c r="DQ60" s="165">
        <v>490</v>
      </c>
      <c r="DR60" s="165">
        <v>429</v>
      </c>
      <c r="DS60" s="165">
        <v>490</v>
      </c>
      <c r="DT60" s="165">
        <v>0</v>
      </c>
      <c r="DU60" s="165">
        <v>20</v>
      </c>
      <c r="DV60" s="165">
        <v>79</v>
      </c>
      <c r="DW60" s="165">
        <v>5</v>
      </c>
      <c r="DX60" s="165">
        <v>84</v>
      </c>
      <c r="DY60" s="165">
        <v>495</v>
      </c>
      <c r="DZ60" s="165">
        <v>9</v>
      </c>
      <c r="EA60" s="166">
        <v>25.689</v>
      </c>
      <c r="EB60" s="166">
        <v>24.689</v>
      </c>
      <c r="EC60" s="166">
        <v>23.689</v>
      </c>
      <c r="ED60" s="166">
        <v>0</v>
      </c>
      <c r="EE60" s="166">
        <v>0</v>
      </c>
      <c r="EF60" s="166">
        <v>25.689</v>
      </c>
      <c r="EG60" s="167">
        <v>7.7800809685079297E-2</v>
      </c>
      <c r="EH60" s="165"/>
      <c r="EI60" s="165">
        <v>71</v>
      </c>
      <c r="EJ60" s="165">
        <v>419</v>
      </c>
      <c r="EK60" s="165">
        <v>419</v>
      </c>
      <c r="EL60" s="165">
        <v>0</v>
      </c>
      <c r="EM60" s="165">
        <v>0</v>
      </c>
      <c r="EN60" s="165">
        <v>490</v>
      </c>
      <c r="EO60" s="165">
        <v>0</v>
      </c>
      <c r="EP60" s="165">
        <v>85</v>
      </c>
      <c r="EQ60" s="165">
        <v>85</v>
      </c>
      <c r="ER60" s="165">
        <v>79</v>
      </c>
      <c r="ES60" s="165">
        <v>6</v>
      </c>
      <c r="ET60" s="165">
        <v>12</v>
      </c>
      <c r="EU60" s="166">
        <v>53</v>
      </c>
      <c r="EV60" s="166">
        <v>1</v>
      </c>
      <c r="EW60" s="166">
        <v>2</v>
      </c>
      <c r="EX60" s="166">
        <v>0</v>
      </c>
      <c r="EY60" s="166">
        <v>0</v>
      </c>
      <c r="EZ60" s="166">
        <v>56</v>
      </c>
      <c r="FA60" s="166">
        <v>59.738888888888887</v>
      </c>
      <c r="FB60" s="166">
        <v>0</v>
      </c>
      <c r="FC60" s="166">
        <v>59.738888888888887</v>
      </c>
      <c r="FD60" s="166">
        <v>71.333333333333329</v>
      </c>
      <c r="FE60" s="166">
        <v>67.972222222222229</v>
      </c>
      <c r="FF60" s="166">
        <v>73.422222222222217</v>
      </c>
      <c r="FG60" s="166">
        <v>74.211111111111109</v>
      </c>
      <c r="FH60" s="166">
        <v>70.727777777777774</v>
      </c>
      <c r="FI60" s="166">
        <v>63.522222222222226</v>
      </c>
      <c r="FJ60" s="166">
        <v>0</v>
      </c>
      <c r="FK60" s="166">
        <v>0</v>
      </c>
      <c r="FL60" s="166">
        <v>0</v>
      </c>
      <c r="FM60" s="166">
        <v>0</v>
      </c>
      <c r="FN60" s="166">
        <v>0</v>
      </c>
      <c r="FO60" s="166">
        <v>0</v>
      </c>
      <c r="FP60" s="166">
        <v>421.18888888888887</v>
      </c>
      <c r="FQ60" s="166">
        <v>0</v>
      </c>
      <c r="FR60" s="166">
        <v>0</v>
      </c>
      <c r="FS60" s="166">
        <v>480.92777777777781</v>
      </c>
      <c r="FT60" s="166">
        <v>421.18888888888887</v>
      </c>
      <c r="FU60" s="166">
        <v>480.92777777777781</v>
      </c>
      <c r="FV60" s="166">
        <v>78.349999999999994</v>
      </c>
      <c r="FW60" s="166">
        <v>6</v>
      </c>
      <c r="FX60" s="166">
        <v>84.35</v>
      </c>
      <c r="FY60" s="166">
        <v>486.92777777777781</v>
      </c>
      <c r="FZ60" s="165">
        <v>11</v>
      </c>
      <c r="GA60" s="165">
        <v>59</v>
      </c>
      <c r="GB60" s="165">
        <v>70</v>
      </c>
      <c r="GC60" s="165">
        <v>63</v>
      </c>
      <c r="GD60" s="165">
        <v>69</v>
      </c>
      <c r="GE60" s="165">
        <v>68</v>
      </c>
      <c r="GF60" s="165">
        <v>77</v>
      </c>
      <c r="GG60" s="165">
        <v>70</v>
      </c>
      <c r="GH60" s="165">
        <v>72</v>
      </c>
      <c r="GI60" s="165">
        <v>0</v>
      </c>
      <c r="GJ60" s="165">
        <v>0</v>
      </c>
      <c r="GK60" s="165">
        <v>0</v>
      </c>
      <c r="GL60" s="165">
        <v>0</v>
      </c>
      <c r="GM60" s="165">
        <v>0</v>
      </c>
      <c r="GN60" s="165">
        <v>0</v>
      </c>
      <c r="GO60" s="165">
        <v>419</v>
      </c>
      <c r="GP60" s="165">
        <v>0</v>
      </c>
      <c r="GQ60" s="165">
        <v>0</v>
      </c>
      <c r="GR60" s="165">
        <v>489</v>
      </c>
      <c r="GS60" s="165">
        <v>419</v>
      </c>
      <c r="GT60" s="165">
        <v>489</v>
      </c>
      <c r="GU60" s="165">
        <v>0</v>
      </c>
      <c r="GV60" s="165">
        <v>31</v>
      </c>
      <c r="GW60" s="165">
        <v>63</v>
      </c>
      <c r="GX60" s="165">
        <v>2</v>
      </c>
      <c r="GY60" s="165">
        <v>65</v>
      </c>
      <c r="GZ60" s="165">
        <v>491</v>
      </c>
      <c r="HA60" s="165">
        <v>10</v>
      </c>
      <c r="HB60" s="166">
        <v>27.689</v>
      </c>
      <c r="HC60" s="166">
        <v>26.689</v>
      </c>
      <c r="HD60" s="166">
        <v>26.689</v>
      </c>
      <c r="HE60" s="166">
        <v>0</v>
      </c>
      <c r="HF60" s="166"/>
      <c r="HG60" s="166">
        <v>28.689</v>
      </c>
      <c r="HH60" s="166">
        <v>0</v>
      </c>
      <c r="HI60" s="166">
        <v>80</v>
      </c>
      <c r="HJ60" s="166">
        <v>80</v>
      </c>
      <c r="HK60" s="166">
        <v>77</v>
      </c>
      <c r="HL60" s="166">
        <v>3</v>
      </c>
      <c r="HM60" s="166">
        <v>0</v>
      </c>
      <c r="HN60" s="166">
        <v>73</v>
      </c>
      <c r="HO60" s="166">
        <v>418</v>
      </c>
      <c r="HP60" s="166">
        <v>418</v>
      </c>
      <c r="HQ60" s="166">
        <v>0</v>
      </c>
      <c r="HR60" s="166">
        <v>0</v>
      </c>
      <c r="HS60" s="166">
        <v>491</v>
      </c>
      <c r="HT60" s="166">
        <f>FY26_FE_Data_April15[[#This Row],[Oct 1, 2026 (CDC) - K]]+FY26_FE_Data_April15[[#This Row],[Oct 1, 2026 (CDC) - Grades 1-6]]+FY26_FE_Data_April15[[#This Row],[Oct 1, 2026 (CDC) - Grades 7-8]]</f>
        <v>491</v>
      </c>
      <c r="HU60" s="166">
        <v>0</v>
      </c>
      <c r="HW60" s="170"/>
      <c r="HY60" s="170"/>
    </row>
    <row r="61" spans="1:233" ht="26">
      <c r="A61" s="158">
        <v>97</v>
      </c>
      <c r="B61" s="159" t="s">
        <v>397</v>
      </c>
      <c r="C61" s="160" t="s">
        <v>398</v>
      </c>
      <c r="D61" s="160" t="s">
        <v>139</v>
      </c>
      <c r="E61" s="159" t="s">
        <v>784</v>
      </c>
      <c r="F61" s="159" t="s">
        <v>784</v>
      </c>
      <c r="G61" s="159"/>
      <c r="H61" s="161">
        <v>34.62222222222222</v>
      </c>
      <c r="I61" s="161">
        <v>1</v>
      </c>
      <c r="J61" s="161">
        <v>35.62222222222222</v>
      </c>
      <c r="K61" s="162">
        <v>0</v>
      </c>
      <c r="L61" s="162">
        <v>200</v>
      </c>
      <c r="M61" s="162">
        <v>204</v>
      </c>
      <c r="N61" s="162">
        <v>0</v>
      </c>
      <c r="O61" s="162">
        <v>404</v>
      </c>
      <c r="P61" s="162">
        <v>404</v>
      </c>
      <c r="Q61" s="162">
        <v>404</v>
      </c>
      <c r="R61" s="162">
        <v>2</v>
      </c>
      <c r="S61" s="160">
        <v>0</v>
      </c>
      <c r="T61" s="160">
        <v>0</v>
      </c>
      <c r="U61" s="160">
        <v>0</v>
      </c>
      <c r="V61" s="160">
        <v>0</v>
      </c>
      <c r="W61" s="160">
        <v>0</v>
      </c>
      <c r="X61" s="160">
        <v>98.966666666666669</v>
      </c>
      <c r="Y61" s="160">
        <v>101.26111111111111</v>
      </c>
      <c r="Z61" s="160">
        <v>98.305555555555557</v>
      </c>
      <c r="AA61" s="160">
        <v>103.63888888888889</v>
      </c>
      <c r="AB61" s="160">
        <v>0</v>
      </c>
      <c r="AC61" s="160">
        <v>0</v>
      </c>
      <c r="AD61" s="160">
        <v>0</v>
      </c>
      <c r="AE61" s="160">
        <v>0</v>
      </c>
      <c r="AF61" s="160">
        <v>200.22777777777776</v>
      </c>
      <c r="AG61" s="160">
        <v>201.94444444444446</v>
      </c>
      <c r="AH61" s="160">
        <v>0</v>
      </c>
      <c r="AI61" s="160">
        <v>402.17222222222222</v>
      </c>
      <c r="AJ61" s="160">
        <v>402.17222222222222</v>
      </c>
      <c r="AK61" s="160">
        <v>402.17222222222222</v>
      </c>
      <c r="AL61" s="161">
        <v>42.2</v>
      </c>
      <c r="AM61" s="161">
        <v>2</v>
      </c>
      <c r="AN61" s="161">
        <v>44.2</v>
      </c>
      <c r="AO61" s="161">
        <v>404.17222222222222</v>
      </c>
      <c r="AP61" s="162">
        <v>0</v>
      </c>
      <c r="AQ61" s="168">
        <v>0</v>
      </c>
      <c r="AR61" s="160">
        <v>0</v>
      </c>
      <c r="AS61" s="160">
        <v>0</v>
      </c>
      <c r="AT61" s="160">
        <v>0</v>
      </c>
      <c r="AU61" s="160">
        <v>102</v>
      </c>
      <c r="AV61" s="160">
        <v>102</v>
      </c>
      <c r="AW61" s="160">
        <v>103</v>
      </c>
      <c r="AX61" s="160">
        <v>99</v>
      </c>
      <c r="AY61" s="160">
        <v>0</v>
      </c>
      <c r="AZ61" s="160">
        <v>0</v>
      </c>
      <c r="BA61" s="160">
        <v>0</v>
      </c>
      <c r="BB61" s="160">
        <v>0</v>
      </c>
      <c r="BC61" s="160">
        <v>204</v>
      </c>
      <c r="BD61" s="160">
        <v>202</v>
      </c>
      <c r="BE61" s="160">
        <v>0</v>
      </c>
      <c r="BF61" s="160">
        <v>406</v>
      </c>
      <c r="BG61" s="160">
        <v>406</v>
      </c>
      <c r="BH61" s="160">
        <v>406</v>
      </c>
      <c r="BI61" s="160">
        <v>0</v>
      </c>
      <c r="BJ61" s="160">
        <v>0</v>
      </c>
      <c r="BK61" s="160">
        <v>0</v>
      </c>
      <c r="BL61" s="160">
        <v>55</v>
      </c>
      <c r="BM61" s="160">
        <v>46</v>
      </c>
      <c r="BN61" s="162">
        <v>1</v>
      </c>
      <c r="BO61" s="162">
        <v>47</v>
      </c>
      <c r="BP61" s="162">
        <v>3</v>
      </c>
      <c r="BQ61" s="163">
        <v>9.6995192307692268E-2</v>
      </c>
      <c r="BR61" s="164">
        <v>27.099999999999998</v>
      </c>
      <c r="BS61" s="164">
        <v>26.1</v>
      </c>
      <c r="BT61" s="164">
        <v>24.299999999999997</v>
      </c>
      <c r="BU61" s="164">
        <v>27.099999999999998</v>
      </c>
      <c r="BV61" s="165">
        <v>0</v>
      </c>
      <c r="BW61" s="165">
        <v>0</v>
      </c>
      <c r="BX61" s="166">
        <v>0</v>
      </c>
      <c r="BY61" s="166">
        <v>0</v>
      </c>
      <c r="BZ61" s="166">
        <v>0</v>
      </c>
      <c r="CA61" s="166">
        <v>0</v>
      </c>
      <c r="CB61" s="166">
        <v>0</v>
      </c>
      <c r="CC61" s="166">
        <v>0</v>
      </c>
      <c r="CD61" s="166">
        <v>0</v>
      </c>
      <c r="CE61" s="166">
        <v>0</v>
      </c>
      <c r="CF61" s="166">
        <v>102.47222222222223</v>
      </c>
      <c r="CG61" s="166">
        <v>101.82222222222222</v>
      </c>
      <c r="CH61" s="166">
        <v>102.71666666666667</v>
      </c>
      <c r="CI61" s="166">
        <v>97.433333333333337</v>
      </c>
      <c r="CJ61" s="166">
        <v>0</v>
      </c>
      <c r="CK61" s="166">
        <v>0</v>
      </c>
      <c r="CL61" s="166">
        <v>0</v>
      </c>
      <c r="CM61" s="166">
        <v>0</v>
      </c>
      <c r="CN61" s="166">
        <v>204.29444444444445</v>
      </c>
      <c r="CO61" s="166">
        <v>200.15</v>
      </c>
      <c r="CP61" s="166">
        <v>0</v>
      </c>
      <c r="CQ61" s="166">
        <v>404.44444444444446</v>
      </c>
      <c r="CR61" s="166">
        <v>404.44444444444446</v>
      </c>
      <c r="CS61" s="166">
        <v>404.44444444444446</v>
      </c>
      <c r="CT61" s="166">
        <v>45.227777777777803</v>
      </c>
      <c r="CU61" s="166">
        <v>1</v>
      </c>
      <c r="CV61" s="166">
        <v>46.227777777777803</v>
      </c>
      <c r="CW61" s="166">
        <v>405.44444444444446</v>
      </c>
      <c r="CX61" s="166">
        <v>0</v>
      </c>
      <c r="CY61" s="166">
        <v>0</v>
      </c>
      <c r="CZ61" s="165">
        <v>0</v>
      </c>
      <c r="DA61" s="165">
        <v>0</v>
      </c>
      <c r="DB61" s="165">
        <v>0</v>
      </c>
      <c r="DC61" s="165">
        <v>0</v>
      </c>
      <c r="DD61" s="165">
        <v>0</v>
      </c>
      <c r="DE61" s="165">
        <v>0</v>
      </c>
      <c r="DF61" s="165">
        <v>104</v>
      </c>
      <c r="DG61" s="165">
        <v>104</v>
      </c>
      <c r="DH61" s="165">
        <v>104</v>
      </c>
      <c r="DI61" s="165">
        <v>103</v>
      </c>
      <c r="DJ61" s="165">
        <v>0</v>
      </c>
      <c r="DK61" s="165">
        <v>0</v>
      </c>
      <c r="DL61" s="165">
        <v>0</v>
      </c>
      <c r="DM61" s="165">
        <v>0</v>
      </c>
      <c r="DN61" s="165">
        <v>208</v>
      </c>
      <c r="DO61" s="165">
        <v>207</v>
      </c>
      <c r="DP61" s="165">
        <v>0</v>
      </c>
      <c r="DQ61" s="165">
        <v>415</v>
      </c>
      <c r="DR61" s="165">
        <v>415</v>
      </c>
      <c r="DS61" s="165">
        <v>415</v>
      </c>
      <c r="DT61" s="165">
        <v>0</v>
      </c>
      <c r="DU61" s="165">
        <v>66</v>
      </c>
      <c r="DV61" s="165">
        <v>47</v>
      </c>
      <c r="DW61" s="165">
        <v>0</v>
      </c>
      <c r="DX61" s="165">
        <v>47</v>
      </c>
      <c r="DY61" s="165">
        <v>415</v>
      </c>
      <c r="DZ61" s="165">
        <v>5</v>
      </c>
      <c r="EA61" s="166">
        <v>26.337</v>
      </c>
      <c r="EB61" s="166">
        <v>25.337</v>
      </c>
      <c r="EC61" s="166">
        <v>8.5570000000000004</v>
      </c>
      <c r="ED61" s="166">
        <v>14.772</v>
      </c>
      <c r="EE61" s="166">
        <v>0</v>
      </c>
      <c r="EF61" s="166">
        <v>26.337000000000003</v>
      </c>
      <c r="EG61" s="167">
        <v>9.7705253406415282E-2</v>
      </c>
      <c r="EH61" s="165"/>
      <c r="EI61" s="165">
        <v>0</v>
      </c>
      <c r="EJ61" s="165">
        <v>414</v>
      </c>
      <c r="EK61" s="165">
        <v>207</v>
      </c>
      <c r="EL61" s="165">
        <v>207</v>
      </c>
      <c r="EM61" s="165">
        <v>0</v>
      </c>
      <c r="EN61" s="165">
        <v>414</v>
      </c>
      <c r="EO61" s="165">
        <v>0</v>
      </c>
      <c r="EP61" s="165">
        <v>46</v>
      </c>
      <c r="EQ61" s="165">
        <v>46</v>
      </c>
      <c r="ER61" s="165">
        <v>46</v>
      </c>
      <c r="ES61" s="165">
        <v>0</v>
      </c>
      <c r="ET61" s="165">
        <v>0</v>
      </c>
      <c r="EU61" s="166">
        <v>1.5</v>
      </c>
      <c r="EV61" s="166">
        <v>0</v>
      </c>
      <c r="EW61" s="166">
        <v>1.0620000000000001</v>
      </c>
      <c r="EX61" s="166">
        <v>0.5</v>
      </c>
      <c r="EY61" s="166">
        <v>0</v>
      </c>
      <c r="EZ61" s="166">
        <v>3.0620000000000003</v>
      </c>
      <c r="FA61" s="166">
        <v>0</v>
      </c>
      <c r="FB61" s="166">
        <v>0</v>
      </c>
      <c r="FC61" s="166">
        <v>0</v>
      </c>
      <c r="FD61" s="166">
        <v>0</v>
      </c>
      <c r="FE61" s="166">
        <v>0</v>
      </c>
      <c r="FF61" s="166">
        <v>0</v>
      </c>
      <c r="FG61" s="166">
        <v>0</v>
      </c>
      <c r="FH61" s="166">
        <v>103.58333333333333</v>
      </c>
      <c r="FI61" s="166">
        <v>103.55555555555556</v>
      </c>
      <c r="FJ61" s="166">
        <v>102.96666666666667</v>
      </c>
      <c r="FK61" s="166">
        <v>102.02222222222223</v>
      </c>
      <c r="FL61" s="166">
        <v>0</v>
      </c>
      <c r="FM61" s="166">
        <v>0</v>
      </c>
      <c r="FN61" s="166">
        <v>0</v>
      </c>
      <c r="FO61" s="166">
        <v>0</v>
      </c>
      <c r="FP61" s="166">
        <v>207.13888888888889</v>
      </c>
      <c r="FQ61" s="166">
        <v>204.98888888888888</v>
      </c>
      <c r="FR61" s="166">
        <v>0</v>
      </c>
      <c r="FS61" s="166">
        <v>412.12777777777779</v>
      </c>
      <c r="FT61" s="166">
        <v>412.12777777777779</v>
      </c>
      <c r="FU61" s="166">
        <v>412.12777777777779</v>
      </c>
      <c r="FV61" s="166">
        <v>44.161111111111111</v>
      </c>
      <c r="FW61" s="166">
        <v>8.8888888888888892E-2</v>
      </c>
      <c r="FX61" s="166">
        <v>44.25</v>
      </c>
      <c r="FY61" s="166">
        <v>412.2166666666667</v>
      </c>
      <c r="FZ61" s="165">
        <v>0</v>
      </c>
      <c r="GA61" s="165">
        <v>0</v>
      </c>
      <c r="GB61" s="165">
        <v>0</v>
      </c>
      <c r="GC61" s="165">
        <v>0</v>
      </c>
      <c r="GD61" s="165">
        <v>0</v>
      </c>
      <c r="GE61" s="165">
        <v>0</v>
      </c>
      <c r="GF61" s="165">
        <v>0</v>
      </c>
      <c r="GG61" s="165">
        <v>104</v>
      </c>
      <c r="GH61" s="165">
        <v>103</v>
      </c>
      <c r="GI61" s="165">
        <v>107</v>
      </c>
      <c r="GJ61" s="165">
        <v>95</v>
      </c>
      <c r="GK61" s="165">
        <v>0</v>
      </c>
      <c r="GL61" s="165">
        <v>0</v>
      </c>
      <c r="GM61" s="165">
        <v>0</v>
      </c>
      <c r="GN61" s="165">
        <v>0</v>
      </c>
      <c r="GO61" s="165">
        <v>207</v>
      </c>
      <c r="GP61" s="165">
        <v>202</v>
      </c>
      <c r="GQ61" s="165">
        <v>0</v>
      </c>
      <c r="GR61" s="165">
        <v>409</v>
      </c>
      <c r="GS61" s="165">
        <v>409</v>
      </c>
      <c r="GT61" s="165">
        <v>409</v>
      </c>
      <c r="GU61" s="165">
        <v>0</v>
      </c>
      <c r="GV61" s="165">
        <v>69</v>
      </c>
      <c r="GW61" s="165">
        <v>56</v>
      </c>
      <c r="GX61" s="165">
        <v>1</v>
      </c>
      <c r="GY61" s="165">
        <v>57</v>
      </c>
      <c r="GZ61" s="165">
        <v>410</v>
      </c>
      <c r="HA61" s="165">
        <v>6</v>
      </c>
      <c r="HB61" s="166">
        <v>26.63</v>
      </c>
      <c r="HC61" s="166">
        <v>25.630000000000003</v>
      </c>
      <c r="HD61" s="166">
        <v>8.25</v>
      </c>
      <c r="HE61" s="166">
        <v>15.372</v>
      </c>
      <c r="HF61" s="166"/>
      <c r="HG61" s="166">
        <v>27.305</v>
      </c>
      <c r="HH61" s="166">
        <v>0</v>
      </c>
      <c r="HI61" s="166">
        <v>57</v>
      </c>
      <c r="HJ61" s="166">
        <v>57</v>
      </c>
      <c r="HK61" s="166">
        <v>56</v>
      </c>
      <c r="HL61" s="166">
        <v>1</v>
      </c>
      <c r="HM61" s="166">
        <v>0</v>
      </c>
      <c r="HN61" s="166">
        <v>0</v>
      </c>
      <c r="HO61" s="166">
        <v>415</v>
      </c>
      <c r="HP61" s="166">
        <v>208</v>
      </c>
      <c r="HQ61" s="166">
        <v>207</v>
      </c>
      <c r="HR61" s="166">
        <v>0</v>
      </c>
      <c r="HS61" s="166">
        <v>415</v>
      </c>
      <c r="HT61" s="166">
        <f>FY26_FE_Data_April15[[#This Row],[Oct 1, 2026 (CDC) - K]]+FY26_FE_Data_April15[[#This Row],[Oct 1, 2026 (CDC) - Grades 1-6]]+FY26_FE_Data_April15[[#This Row],[Oct 1, 2026 (CDC) - Grades 7-8]]</f>
        <v>415</v>
      </c>
      <c r="HU61" s="166">
        <v>0</v>
      </c>
      <c r="HW61" s="170"/>
      <c r="HY61" s="170"/>
    </row>
    <row r="62" spans="1:233" ht="39">
      <c r="A62" s="158">
        <v>98</v>
      </c>
      <c r="B62" s="159" t="s">
        <v>399</v>
      </c>
      <c r="C62" s="160" t="s">
        <v>400</v>
      </c>
      <c r="D62" s="160" t="s">
        <v>139</v>
      </c>
      <c r="E62" s="159" t="s">
        <v>784</v>
      </c>
      <c r="F62" s="159" t="s">
        <v>784</v>
      </c>
      <c r="G62" s="159"/>
      <c r="H62" s="161">
        <v>58.044444444444444</v>
      </c>
      <c r="I62" s="161">
        <v>0</v>
      </c>
      <c r="J62" s="161">
        <v>58.044444444444444</v>
      </c>
      <c r="K62" s="162">
        <v>0</v>
      </c>
      <c r="L62" s="162">
        <v>0</v>
      </c>
      <c r="M62" s="162">
        <v>0</v>
      </c>
      <c r="N62" s="162">
        <v>420</v>
      </c>
      <c r="O62" s="162">
        <v>420</v>
      </c>
      <c r="P62" s="162">
        <v>420</v>
      </c>
      <c r="Q62" s="162">
        <v>0</v>
      </c>
      <c r="R62" s="162">
        <v>0</v>
      </c>
      <c r="S62" s="160">
        <v>0</v>
      </c>
      <c r="T62" s="160">
        <v>0</v>
      </c>
      <c r="U62" s="160">
        <v>0</v>
      </c>
      <c r="V62" s="160">
        <v>0</v>
      </c>
      <c r="W62" s="160">
        <v>0</v>
      </c>
      <c r="X62" s="160">
        <v>0</v>
      </c>
      <c r="Y62" s="160">
        <v>0</v>
      </c>
      <c r="Z62" s="160">
        <v>0</v>
      </c>
      <c r="AA62" s="160">
        <v>0</v>
      </c>
      <c r="AB62" s="160">
        <v>64.99444444444444</v>
      </c>
      <c r="AC62" s="160">
        <v>107.07777777777778</v>
      </c>
      <c r="AD62" s="160">
        <v>157.23333333333332</v>
      </c>
      <c r="AE62" s="160">
        <v>101.60555555555555</v>
      </c>
      <c r="AF62" s="160">
        <v>0</v>
      </c>
      <c r="AG62" s="160">
        <v>0</v>
      </c>
      <c r="AH62" s="160">
        <v>430.9111111111111</v>
      </c>
      <c r="AI62" s="160">
        <v>0</v>
      </c>
      <c r="AJ62" s="160">
        <v>430.9111111111111</v>
      </c>
      <c r="AK62" s="160">
        <v>430.9111111111111</v>
      </c>
      <c r="AL62" s="161">
        <v>89.594444444444449</v>
      </c>
      <c r="AM62" s="161">
        <v>0</v>
      </c>
      <c r="AN62" s="161">
        <v>89.594444444444449</v>
      </c>
      <c r="AO62" s="161">
        <v>430.9111111111111</v>
      </c>
      <c r="AP62" s="162">
        <v>0</v>
      </c>
      <c r="AQ62" s="168">
        <v>0</v>
      </c>
      <c r="AR62" s="160">
        <v>0</v>
      </c>
      <c r="AS62" s="160">
        <v>0</v>
      </c>
      <c r="AT62" s="160">
        <v>0</v>
      </c>
      <c r="AU62" s="160">
        <v>0</v>
      </c>
      <c r="AV62" s="160">
        <v>0</v>
      </c>
      <c r="AW62" s="160">
        <v>0</v>
      </c>
      <c r="AX62" s="160">
        <v>0</v>
      </c>
      <c r="AY62" s="160">
        <v>55</v>
      </c>
      <c r="AZ62" s="160">
        <v>103</v>
      </c>
      <c r="BA62" s="160">
        <v>136</v>
      </c>
      <c r="BB62" s="160">
        <v>154</v>
      </c>
      <c r="BC62" s="160">
        <v>0</v>
      </c>
      <c r="BD62" s="160">
        <v>0</v>
      </c>
      <c r="BE62" s="160">
        <v>448</v>
      </c>
      <c r="BF62" s="160">
        <v>0</v>
      </c>
      <c r="BG62" s="160">
        <v>448</v>
      </c>
      <c r="BH62" s="160">
        <v>448</v>
      </c>
      <c r="BI62" s="160">
        <v>0</v>
      </c>
      <c r="BJ62" s="160">
        <v>0</v>
      </c>
      <c r="BK62" s="160">
        <v>0</v>
      </c>
      <c r="BL62" s="160">
        <v>158</v>
      </c>
      <c r="BM62" s="160">
        <v>95</v>
      </c>
      <c r="BN62" s="162">
        <v>0</v>
      </c>
      <c r="BO62" s="162">
        <v>95</v>
      </c>
      <c r="BP62" s="162">
        <v>15</v>
      </c>
      <c r="BQ62" s="163">
        <v>7.1400491400491484E-2</v>
      </c>
      <c r="BR62" s="164">
        <v>20.3</v>
      </c>
      <c r="BS62" s="164">
        <v>19</v>
      </c>
      <c r="BT62" s="164">
        <v>19</v>
      </c>
      <c r="BU62" s="164">
        <v>23.400000000000002</v>
      </c>
      <c r="BV62" s="165">
        <v>0</v>
      </c>
      <c r="BW62" s="165">
        <v>0</v>
      </c>
      <c r="BX62" s="166">
        <v>0</v>
      </c>
      <c r="BY62" s="166">
        <v>0</v>
      </c>
      <c r="BZ62" s="166">
        <v>0</v>
      </c>
      <c r="CA62" s="166">
        <v>0</v>
      </c>
      <c r="CB62" s="166">
        <v>0</v>
      </c>
      <c r="CC62" s="166">
        <v>0</v>
      </c>
      <c r="CD62" s="166">
        <v>0</v>
      </c>
      <c r="CE62" s="166">
        <v>0</v>
      </c>
      <c r="CF62" s="166">
        <v>0</v>
      </c>
      <c r="CG62" s="166">
        <v>0</v>
      </c>
      <c r="CH62" s="166">
        <v>0</v>
      </c>
      <c r="CI62" s="166">
        <v>0</v>
      </c>
      <c r="CJ62" s="166">
        <v>62.233333333333334</v>
      </c>
      <c r="CK62" s="166">
        <v>110.6</v>
      </c>
      <c r="CL62" s="166">
        <v>144.8388888888889</v>
      </c>
      <c r="CM62" s="166">
        <v>152.21666666666667</v>
      </c>
      <c r="CN62" s="166">
        <v>0</v>
      </c>
      <c r="CO62" s="166">
        <v>0</v>
      </c>
      <c r="CP62" s="166">
        <v>469.88888888888891</v>
      </c>
      <c r="CQ62" s="166">
        <v>0</v>
      </c>
      <c r="CR62" s="166">
        <v>469.88888888888891</v>
      </c>
      <c r="CS62" s="166">
        <v>469.88888888888891</v>
      </c>
      <c r="CT62" s="166">
        <v>95.811111111111103</v>
      </c>
      <c r="CU62" s="166">
        <v>0</v>
      </c>
      <c r="CV62" s="166">
        <v>95.811111111111103</v>
      </c>
      <c r="CW62" s="166">
        <v>469.88888888888891</v>
      </c>
      <c r="CX62" s="166">
        <v>0</v>
      </c>
      <c r="CY62" s="166">
        <v>0</v>
      </c>
      <c r="CZ62" s="165">
        <v>0</v>
      </c>
      <c r="DA62" s="165">
        <v>0</v>
      </c>
      <c r="DB62" s="165">
        <v>0</v>
      </c>
      <c r="DC62" s="165">
        <v>0</v>
      </c>
      <c r="DD62" s="165">
        <v>0</v>
      </c>
      <c r="DE62" s="165">
        <v>0</v>
      </c>
      <c r="DF62" s="165">
        <v>0</v>
      </c>
      <c r="DG62" s="165">
        <v>0</v>
      </c>
      <c r="DH62" s="165">
        <v>0</v>
      </c>
      <c r="DI62" s="165">
        <v>0</v>
      </c>
      <c r="DJ62" s="165">
        <v>56</v>
      </c>
      <c r="DK62" s="165">
        <v>97</v>
      </c>
      <c r="DL62" s="165">
        <v>156</v>
      </c>
      <c r="DM62" s="165">
        <v>133</v>
      </c>
      <c r="DN62" s="165">
        <v>0</v>
      </c>
      <c r="DO62" s="165">
        <v>0</v>
      </c>
      <c r="DP62" s="165">
        <v>442</v>
      </c>
      <c r="DQ62" s="165">
        <v>0</v>
      </c>
      <c r="DR62" s="165">
        <v>442</v>
      </c>
      <c r="DS62" s="165">
        <v>442</v>
      </c>
      <c r="DT62" s="165">
        <v>0</v>
      </c>
      <c r="DU62" s="165">
        <v>150</v>
      </c>
      <c r="DV62" s="165">
        <v>75</v>
      </c>
      <c r="DW62" s="165">
        <v>0</v>
      </c>
      <c r="DX62" s="165">
        <v>75</v>
      </c>
      <c r="DY62" s="165">
        <v>442</v>
      </c>
      <c r="DZ62" s="165">
        <v>34</v>
      </c>
      <c r="EA62" s="166">
        <v>21.53</v>
      </c>
      <c r="EB62" s="166">
        <v>20.229999999999997</v>
      </c>
      <c r="EC62" s="166">
        <v>0</v>
      </c>
      <c r="ED62" s="166">
        <v>17.12</v>
      </c>
      <c r="EE62" s="166">
        <v>0</v>
      </c>
      <c r="EF62" s="166">
        <v>23.870000000000005</v>
      </c>
      <c r="EG62" s="167">
        <v>6.6175814368585495E-2</v>
      </c>
      <c r="EH62" s="165"/>
      <c r="EI62" s="165">
        <v>0</v>
      </c>
      <c r="EJ62" s="165">
        <v>439</v>
      </c>
      <c r="EK62" s="165">
        <v>0</v>
      </c>
      <c r="EL62" s="165">
        <v>0</v>
      </c>
      <c r="EM62" s="165">
        <v>439</v>
      </c>
      <c r="EN62" s="165">
        <v>439</v>
      </c>
      <c r="EO62" s="165">
        <v>0</v>
      </c>
      <c r="EP62" s="165">
        <v>75</v>
      </c>
      <c r="EQ62" s="165">
        <v>75</v>
      </c>
      <c r="ER62" s="165">
        <v>75</v>
      </c>
      <c r="ES62" s="165">
        <v>0</v>
      </c>
      <c r="ET62" s="165">
        <v>0</v>
      </c>
      <c r="EU62" s="166">
        <v>5</v>
      </c>
      <c r="EV62" s="166">
        <v>0</v>
      </c>
      <c r="EW62" s="166">
        <v>3</v>
      </c>
      <c r="EX62" s="166">
        <v>1.5</v>
      </c>
      <c r="EY62" s="166">
        <v>1</v>
      </c>
      <c r="EZ62" s="166">
        <v>10.5</v>
      </c>
      <c r="FA62" s="166">
        <v>0</v>
      </c>
      <c r="FB62" s="166">
        <v>0</v>
      </c>
      <c r="FC62" s="166">
        <v>0</v>
      </c>
      <c r="FD62" s="166">
        <v>0</v>
      </c>
      <c r="FE62" s="166">
        <v>0</v>
      </c>
      <c r="FF62" s="166">
        <v>0</v>
      </c>
      <c r="FG62" s="166">
        <v>0</v>
      </c>
      <c r="FH62" s="166">
        <v>0</v>
      </c>
      <c r="FI62" s="166">
        <v>0</v>
      </c>
      <c r="FJ62" s="166">
        <v>0</v>
      </c>
      <c r="FK62" s="166">
        <v>0</v>
      </c>
      <c r="FL62" s="166">
        <v>68.311111111111117</v>
      </c>
      <c r="FM62" s="166">
        <v>108.47777777777777</v>
      </c>
      <c r="FN62" s="166">
        <v>169.86666666666667</v>
      </c>
      <c r="FO62" s="166">
        <v>131.1888888888889</v>
      </c>
      <c r="FP62" s="166">
        <v>0</v>
      </c>
      <c r="FQ62" s="166">
        <v>0</v>
      </c>
      <c r="FR62" s="166">
        <v>477.84444444444443</v>
      </c>
      <c r="FS62" s="166">
        <v>0</v>
      </c>
      <c r="FT62" s="166">
        <v>477.84444444444443</v>
      </c>
      <c r="FU62" s="166">
        <v>477.84444444444443</v>
      </c>
      <c r="FV62" s="166">
        <v>75.861111111111114</v>
      </c>
      <c r="FW62" s="166">
        <v>0</v>
      </c>
      <c r="FX62" s="166">
        <v>75.861111111111114</v>
      </c>
      <c r="FY62" s="166">
        <v>477.84444444444443</v>
      </c>
      <c r="FZ62" s="165">
        <v>0</v>
      </c>
      <c r="GA62" s="165">
        <v>0</v>
      </c>
      <c r="GB62" s="165">
        <v>0</v>
      </c>
      <c r="GC62" s="165">
        <v>0</v>
      </c>
      <c r="GD62" s="165">
        <v>0</v>
      </c>
      <c r="GE62" s="165">
        <v>0</v>
      </c>
      <c r="GF62" s="165">
        <v>0</v>
      </c>
      <c r="GG62" s="165">
        <v>0</v>
      </c>
      <c r="GH62" s="165">
        <v>0</v>
      </c>
      <c r="GI62" s="165">
        <v>0</v>
      </c>
      <c r="GJ62" s="165">
        <v>0</v>
      </c>
      <c r="GK62" s="165">
        <v>69</v>
      </c>
      <c r="GL62" s="165">
        <v>103</v>
      </c>
      <c r="GM62" s="165">
        <v>150</v>
      </c>
      <c r="GN62" s="165">
        <v>169</v>
      </c>
      <c r="GO62" s="165">
        <v>0</v>
      </c>
      <c r="GP62" s="165">
        <v>0</v>
      </c>
      <c r="GQ62" s="165">
        <v>491</v>
      </c>
      <c r="GR62" s="165">
        <v>0</v>
      </c>
      <c r="GS62" s="165">
        <v>491</v>
      </c>
      <c r="GT62" s="165">
        <v>491</v>
      </c>
      <c r="GU62" s="165">
        <v>0</v>
      </c>
      <c r="GV62" s="165">
        <v>171</v>
      </c>
      <c r="GW62" s="165">
        <v>90</v>
      </c>
      <c r="GX62" s="165">
        <v>0</v>
      </c>
      <c r="GY62" s="165">
        <v>90</v>
      </c>
      <c r="GZ62" s="165">
        <v>491</v>
      </c>
      <c r="HA62" s="165">
        <v>33</v>
      </c>
      <c r="HB62" s="166">
        <v>23.335000000000001</v>
      </c>
      <c r="HC62" s="166">
        <v>22.035</v>
      </c>
      <c r="HD62" s="166">
        <v>0</v>
      </c>
      <c r="HE62" s="166">
        <v>19.024999999999999</v>
      </c>
      <c r="HF62" s="166"/>
      <c r="HG62" s="166">
        <v>23.524999999999999</v>
      </c>
      <c r="HH62" s="166">
        <v>0</v>
      </c>
      <c r="HI62" s="166">
        <v>93</v>
      </c>
      <c r="HJ62" s="166">
        <v>93</v>
      </c>
      <c r="HK62" s="166">
        <v>93</v>
      </c>
      <c r="HL62" s="166">
        <v>0</v>
      </c>
      <c r="HM62" s="166">
        <v>0</v>
      </c>
      <c r="HN62" s="166">
        <v>0</v>
      </c>
      <c r="HO62" s="166">
        <v>491</v>
      </c>
      <c r="HP62" s="166">
        <v>0</v>
      </c>
      <c r="HQ62" s="166">
        <v>0</v>
      </c>
      <c r="HR62" s="166">
        <v>491</v>
      </c>
      <c r="HS62" s="166">
        <v>491</v>
      </c>
      <c r="HT62" s="166">
        <f>FY26_FE_Data_April15[[#This Row],[Oct 1, 2026 (CDC) - K]]+FY26_FE_Data_April15[[#This Row],[Oct 1, 2026 (CDC) - Grades 1-6]]+FY26_FE_Data_April15[[#This Row],[Oct 1, 2026 (CDC) - Grades 7-8]]</f>
        <v>0</v>
      </c>
      <c r="HU62" s="166">
        <v>0</v>
      </c>
      <c r="HW62" s="170"/>
      <c r="HY62" s="170"/>
    </row>
    <row r="63" spans="1:233" ht="39">
      <c r="A63" s="158" t="s">
        <v>401</v>
      </c>
      <c r="B63" s="159" t="s">
        <v>402</v>
      </c>
      <c r="C63" s="160" t="s">
        <v>403</v>
      </c>
      <c r="D63" s="160" t="s">
        <v>139</v>
      </c>
      <c r="E63" s="159" t="s">
        <v>784</v>
      </c>
      <c r="F63" s="159" t="s">
        <v>784</v>
      </c>
      <c r="G63" s="159"/>
      <c r="H63" s="161">
        <v>7.3611111111111107</v>
      </c>
      <c r="I63" s="161">
        <v>0</v>
      </c>
      <c r="J63" s="161">
        <v>7.3611111111111107</v>
      </c>
      <c r="K63" s="162">
        <v>0</v>
      </c>
      <c r="L63" s="162">
        <v>0</v>
      </c>
      <c r="M63" s="162">
        <v>0</v>
      </c>
      <c r="N63" s="162">
        <v>552</v>
      </c>
      <c r="O63" s="162">
        <v>552</v>
      </c>
      <c r="P63" s="162">
        <v>552</v>
      </c>
      <c r="Q63" s="162">
        <v>0</v>
      </c>
      <c r="R63" s="162">
        <v>0</v>
      </c>
      <c r="S63" s="160">
        <v>0</v>
      </c>
      <c r="T63" s="160">
        <v>0</v>
      </c>
      <c r="U63" s="160">
        <v>0</v>
      </c>
      <c r="V63" s="160">
        <v>0</v>
      </c>
      <c r="W63" s="160">
        <v>0</v>
      </c>
      <c r="X63" s="160">
        <v>0</v>
      </c>
      <c r="Y63" s="160">
        <v>0</v>
      </c>
      <c r="Z63" s="160">
        <v>0</v>
      </c>
      <c r="AA63" s="160">
        <v>0</v>
      </c>
      <c r="AB63" s="160">
        <v>91.516666666666666</v>
      </c>
      <c r="AC63" s="160">
        <v>155.12777777777777</v>
      </c>
      <c r="AD63" s="160">
        <v>159.94999999999999</v>
      </c>
      <c r="AE63" s="160">
        <v>136.46111111111111</v>
      </c>
      <c r="AF63" s="160">
        <v>0</v>
      </c>
      <c r="AG63" s="160">
        <v>0</v>
      </c>
      <c r="AH63" s="160">
        <v>543.05555555555554</v>
      </c>
      <c r="AI63" s="160">
        <v>0</v>
      </c>
      <c r="AJ63" s="160">
        <v>543.05555555555554</v>
      </c>
      <c r="AK63" s="160">
        <v>543.05555555555554</v>
      </c>
      <c r="AL63" s="161">
        <v>8.3111111111111118</v>
      </c>
      <c r="AM63" s="161">
        <v>0</v>
      </c>
      <c r="AN63" s="161">
        <v>8.3111111111111118</v>
      </c>
      <c r="AO63" s="161">
        <v>543.05555555555554</v>
      </c>
      <c r="AP63" s="162">
        <v>0</v>
      </c>
      <c r="AQ63" s="168">
        <v>0</v>
      </c>
      <c r="AR63" s="160">
        <v>0</v>
      </c>
      <c r="AS63" s="160">
        <v>0</v>
      </c>
      <c r="AT63" s="160">
        <v>0</v>
      </c>
      <c r="AU63" s="160">
        <v>0</v>
      </c>
      <c r="AV63" s="160">
        <v>0</v>
      </c>
      <c r="AW63" s="160">
        <v>0</v>
      </c>
      <c r="AX63" s="160">
        <v>0</v>
      </c>
      <c r="AY63" s="160">
        <v>123</v>
      </c>
      <c r="AZ63" s="160">
        <v>127</v>
      </c>
      <c r="BA63" s="160">
        <v>141</v>
      </c>
      <c r="BB63" s="160">
        <v>157</v>
      </c>
      <c r="BC63" s="160">
        <v>0</v>
      </c>
      <c r="BD63" s="160">
        <v>0</v>
      </c>
      <c r="BE63" s="160">
        <v>548</v>
      </c>
      <c r="BF63" s="160">
        <v>0</v>
      </c>
      <c r="BG63" s="160">
        <v>548</v>
      </c>
      <c r="BH63" s="160">
        <v>548</v>
      </c>
      <c r="BI63" s="160">
        <v>0</v>
      </c>
      <c r="BJ63" s="160">
        <v>0</v>
      </c>
      <c r="BK63" s="160">
        <v>1</v>
      </c>
      <c r="BL63" s="160">
        <v>98</v>
      </c>
      <c r="BM63" s="160">
        <v>13</v>
      </c>
      <c r="BN63" s="162">
        <v>0</v>
      </c>
      <c r="BO63" s="162">
        <v>13</v>
      </c>
      <c r="BP63" s="162">
        <v>14</v>
      </c>
      <c r="BQ63" s="163">
        <v>9.1395729759984279E-2</v>
      </c>
      <c r="BR63" s="164">
        <v>31.563000000000002</v>
      </c>
      <c r="BS63" s="164">
        <v>28.963000000000001</v>
      </c>
      <c r="BT63" s="164">
        <v>28.963000000000001</v>
      </c>
      <c r="BU63" s="164">
        <v>31.563000000000006</v>
      </c>
      <c r="BV63" s="165">
        <v>0</v>
      </c>
      <c r="BW63" s="165">
        <v>0</v>
      </c>
      <c r="BX63" s="166">
        <v>0</v>
      </c>
      <c r="BY63" s="166">
        <v>0</v>
      </c>
      <c r="BZ63" s="166">
        <v>0</v>
      </c>
      <c r="CA63" s="166">
        <v>0</v>
      </c>
      <c r="CB63" s="166">
        <v>0</v>
      </c>
      <c r="CC63" s="166">
        <v>0</v>
      </c>
      <c r="CD63" s="166">
        <v>0</v>
      </c>
      <c r="CE63" s="166">
        <v>0</v>
      </c>
      <c r="CF63" s="166">
        <v>0</v>
      </c>
      <c r="CG63" s="166">
        <v>0</v>
      </c>
      <c r="CH63" s="166">
        <v>0</v>
      </c>
      <c r="CI63" s="166">
        <v>0</v>
      </c>
      <c r="CJ63" s="166">
        <v>118.88333333333334</v>
      </c>
      <c r="CK63" s="166">
        <v>126.35</v>
      </c>
      <c r="CL63" s="166">
        <v>138.51666666666668</v>
      </c>
      <c r="CM63" s="166">
        <v>152.75</v>
      </c>
      <c r="CN63" s="166">
        <v>0</v>
      </c>
      <c r="CO63" s="166">
        <v>0</v>
      </c>
      <c r="CP63" s="166">
        <v>536.5</v>
      </c>
      <c r="CQ63" s="166">
        <v>0</v>
      </c>
      <c r="CR63" s="166">
        <v>536.5</v>
      </c>
      <c r="CS63" s="166">
        <v>536.5</v>
      </c>
      <c r="CT63" s="166">
        <v>9.5333333333333297</v>
      </c>
      <c r="CU63" s="166">
        <v>0</v>
      </c>
      <c r="CV63" s="166">
        <v>9.5333333333333297</v>
      </c>
      <c r="CW63" s="166">
        <v>536.5</v>
      </c>
      <c r="CX63" s="166">
        <v>0</v>
      </c>
      <c r="CY63" s="166">
        <v>0</v>
      </c>
      <c r="CZ63" s="165">
        <v>0</v>
      </c>
      <c r="DA63" s="165">
        <v>0</v>
      </c>
      <c r="DB63" s="165">
        <v>0</v>
      </c>
      <c r="DC63" s="165">
        <v>0</v>
      </c>
      <c r="DD63" s="165">
        <v>0</v>
      </c>
      <c r="DE63" s="165">
        <v>0</v>
      </c>
      <c r="DF63" s="165">
        <v>0</v>
      </c>
      <c r="DG63" s="165">
        <v>0</v>
      </c>
      <c r="DH63" s="165">
        <v>0</v>
      </c>
      <c r="DI63" s="165">
        <v>0</v>
      </c>
      <c r="DJ63" s="165">
        <v>103</v>
      </c>
      <c r="DK63" s="165">
        <v>145</v>
      </c>
      <c r="DL63" s="165">
        <v>125</v>
      </c>
      <c r="DM63" s="165">
        <v>136</v>
      </c>
      <c r="DN63" s="165">
        <v>0</v>
      </c>
      <c r="DO63" s="165">
        <v>0</v>
      </c>
      <c r="DP63" s="165">
        <v>509</v>
      </c>
      <c r="DQ63" s="165">
        <v>0</v>
      </c>
      <c r="DR63" s="165">
        <v>509</v>
      </c>
      <c r="DS63" s="165">
        <v>509</v>
      </c>
      <c r="DT63" s="165">
        <v>1</v>
      </c>
      <c r="DU63" s="165">
        <v>102</v>
      </c>
      <c r="DV63" s="165">
        <v>12</v>
      </c>
      <c r="DW63" s="165">
        <v>0</v>
      </c>
      <c r="DX63" s="165">
        <v>12</v>
      </c>
      <c r="DY63" s="165">
        <v>509</v>
      </c>
      <c r="DZ63" s="165">
        <v>19</v>
      </c>
      <c r="EA63" s="166">
        <v>28.8</v>
      </c>
      <c r="EB63" s="166">
        <v>27.2</v>
      </c>
      <c r="EC63" s="166">
        <v>0</v>
      </c>
      <c r="ED63" s="166">
        <v>20.6</v>
      </c>
      <c r="EE63" s="166">
        <v>0</v>
      </c>
      <c r="EF63" s="166">
        <v>29</v>
      </c>
      <c r="EG63" s="167">
        <v>9.886512991608537E-2</v>
      </c>
      <c r="EH63" s="165"/>
      <c r="EI63" s="165">
        <v>0</v>
      </c>
      <c r="EJ63" s="165">
        <v>508</v>
      </c>
      <c r="EK63" s="165">
        <v>0</v>
      </c>
      <c r="EL63" s="165">
        <v>0</v>
      </c>
      <c r="EM63" s="165">
        <v>508</v>
      </c>
      <c r="EN63" s="165">
        <v>508</v>
      </c>
      <c r="EO63" s="165">
        <v>0</v>
      </c>
      <c r="EP63" s="165">
        <v>9</v>
      </c>
      <c r="EQ63" s="165">
        <v>9</v>
      </c>
      <c r="ER63" s="165">
        <v>9</v>
      </c>
      <c r="ES63" s="165">
        <v>0</v>
      </c>
      <c r="ET63" s="165">
        <v>0</v>
      </c>
      <c r="EU63" s="166">
        <v>0</v>
      </c>
      <c r="EV63" s="166">
        <v>0</v>
      </c>
      <c r="EW63" s="166">
        <v>3</v>
      </c>
      <c r="EX63" s="166">
        <v>1</v>
      </c>
      <c r="EY63" s="166">
        <v>4</v>
      </c>
      <c r="EZ63" s="166">
        <v>8</v>
      </c>
      <c r="FA63" s="166">
        <v>0</v>
      </c>
      <c r="FB63" s="166">
        <v>0</v>
      </c>
      <c r="FC63" s="166">
        <v>0</v>
      </c>
      <c r="FD63" s="166">
        <v>0</v>
      </c>
      <c r="FE63" s="166">
        <v>0</v>
      </c>
      <c r="FF63" s="166">
        <v>0</v>
      </c>
      <c r="FG63" s="166">
        <v>0</v>
      </c>
      <c r="FH63" s="166">
        <v>0</v>
      </c>
      <c r="FI63" s="166">
        <v>0</v>
      </c>
      <c r="FJ63" s="166">
        <v>0</v>
      </c>
      <c r="FK63" s="166">
        <v>0</v>
      </c>
      <c r="FL63" s="166">
        <v>100.33888888888889</v>
      </c>
      <c r="FM63" s="166">
        <v>142.0611111111111</v>
      </c>
      <c r="FN63" s="166">
        <v>125.61666666666666</v>
      </c>
      <c r="FO63" s="166">
        <v>134.96111111111111</v>
      </c>
      <c r="FP63" s="166">
        <v>0</v>
      </c>
      <c r="FQ63" s="166">
        <v>0</v>
      </c>
      <c r="FR63" s="166">
        <v>502.97777777777776</v>
      </c>
      <c r="FS63" s="166">
        <v>0</v>
      </c>
      <c r="FT63" s="166">
        <v>502.97777777777776</v>
      </c>
      <c r="FU63" s="166">
        <v>502.97777777777776</v>
      </c>
      <c r="FV63" s="166">
        <v>10.8</v>
      </c>
      <c r="FW63" s="166">
        <v>0</v>
      </c>
      <c r="FX63" s="166">
        <v>10.8</v>
      </c>
      <c r="FY63" s="166">
        <v>502.97777777777776</v>
      </c>
      <c r="FZ63" s="165">
        <v>0</v>
      </c>
      <c r="GA63" s="165">
        <v>0</v>
      </c>
      <c r="GB63" s="165">
        <v>0</v>
      </c>
      <c r="GC63" s="165">
        <v>0</v>
      </c>
      <c r="GD63" s="165">
        <v>0</v>
      </c>
      <c r="GE63" s="165">
        <v>0</v>
      </c>
      <c r="GF63" s="165">
        <v>0</v>
      </c>
      <c r="GG63" s="165">
        <v>0</v>
      </c>
      <c r="GH63" s="165">
        <v>0</v>
      </c>
      <c r="GI63" s="165">
        <v>0</v>
      </c>
      <c r="GJ63" s="165">
        <v>0</v>
      </c>
      <c r="GK63" s="165">
        <v>116</v>
      </c>
      <c r="GL63" s="165">
        <v>102</v>
      </c>
      <c r="GM63" s="165">
        <v>122</v>
      </c>
      <c r="GN63" s="165">
        <v>123</v>
      </c>
      <c r="GO63" s="165">
        <v>0</v>
      </c>
      <c r="GP63" s="165">
        <v>0</v>
      </c>
      <c r="GQ63" s="165">
        <v>463</v>
      </c>
      <c r="GR63" s="165">
        <v>0</v>
      </c>
      <c r="GS63" s="165">
        <v>463</v>
      </c>
      <c r="GT63" s="165">
        <v>463</v>
      </c>
      <c r="GU63" s="165">
        <v>0</v>
      </c>
      <c r="GV63" s="165">
        <v>89</v>
      </c>
      <c r="GW63" s="165">
        <v>14</v>
      </c>
      <c r="GX63" s="165">
        <v>0</v>
      </c>
      <c r="GY63" s="165">
        <v>14</v>
      </c>
      <c r="GZ63" s="165">
        <v>463</v>
      </c>
      <c r="HA63" s="165">
        <v>16</v>
      </c>
      <c r="HB63" s="166">
        <v>26.3</v>
      </c>
      <c r="HC63" s="166">
        <v>24.7</v>
      </c>
      <c r="HD63" s="166">
        <v>0</v>
      </c>
      <c r="HE63" s="166">
        <v>17.5</v>
      </c>
      <c r="HF63" s="166"/>
      <c r="HG63" s="166">
        <v>26.5</v>
      </c>
      <c r="HH63" s="166">
        <v>0</v>
      </c>
      <c r="HI63" s="166">
        <v>11</v>
      </c>
      <c r="HJ63" s="166">
        <v>11</v>
      </c>
      <c r="HK63" s="166">
        <v>11</v>
      </c>
      <c r="HL63" s="166">
        <v>0</v>
      </c>
      <c r="HM63" s="166">
        <v>0</v>
      </c>
      <c r="HN63" s="166">
        <v>0</v>
      </c>
      <c r="HO63" s="166">
        <v>500</v>
      </c>
      <c r="HP63" s="166">
        <v>0</v>
      </c>
      <c r="HQ63" s="166">
        <v>0</v>
      </c>
      <c r="HR63" s="166">
        <v>500</v>
      </c>
      <c r="HS63" s="166">
        <v>500</v>
      </c>
      <c r="HT63" s="166">
        <f>FY26_FE_Data_April15[[#This Row],[Oct 1, 2026 (CDC) - K]]+FY26_FE_Data_April15[[#This Row],[Oct 1, 2026 (CDC) - Grades 1-6]]+FY26_FE_Data_April15[[#This Row],[Oct 1, 2026 (CDC) - Grades 7-8]]</f>
        <v>0</v>
      </c>
      <c r="HU63" s="166">
        <v>0</v>
      </c>
      <c r="HW63" s="170"/>
      <c r="HY63" s="170"/>
    </row>
    <row r="64" spans="1:233" ht="39">
      <c r="A64" s="158" t="s">
        <v>404</v>
      </c>
      <c r="B64" s="159" t="s">
        <v>405</v>
      </c>
      <c r="C64" s="160" t="s">
        <v>406</v>
      </c>
      <c r="D64" s="160" t="s">
        <v>139</v>
      </c>
      <c r="E64" s="159" t="s">
        <v>784</v>
      </c>
      <c r="F64" s="159" t="s">
        <v>784</v>
      </c>
      <c r="G64" s="159"/>
      <c r="H64" s="161">
        <v>56.666666666666664</v>
      </c>
      <c r="I64" s="161">
        <v>0</v>
      </c>
      <c r="J64" s="161">
        <v>56.666666666666664</v>
      </c>
      <c r="K64" s="162">
        <v>56</v>
      </c>
      <c r="L64" s="162">
        <v>306</v>
      </c>
      <c r="M64" s="162">
        <v>0</v>
      </c>
      <c r="N64" s="162">
        <v>0</v>
      </c>
      <c r="O64" s="162">
        <v>362</v>
      </c>
      <c r="P64" s="162">
        <v>306</v>
      </c>
      <c r="Q64" s="162">
        <v>362</v>
      </c>
      <c r="R64" s="162">
        <v>0</v>
      </c>
      <c r="S64" s="160">
        <v>55.95</v>
      </c>
      <c r="T64" s="160">
        <v>59.033333333333331</v>
      </c>
      <c r="U64" s="160">
        <v>58.461111111111109</v>
      </c>
      <c r="V64" s="160">
        <v>54.944444444444443</v>
      </c>
      <c r="W64" s="160">
        <v>57.35</v>
      </c>
      <c r="X64" s="160">
        <v>37.822222222222223</v>
      </c>
      <c r="Y64" s="160">
        <v>40.633333333333333</v>
      </c>
      <c r="Z64" s="160">
        <v>0</v>
      </c>
      <c r="AA64" s="160">
        <v>0</v>
      </c>
      <c r="AB64" s="160">
        <v>0</v>
      </c>
      <c r="AC64" s="160">
        <v>0</v>
      </c>
      <c r="AD64" s="160">
        <v>0</v>
      </c>
      <c r="AE64" s="160">
        <v>0</v>
      </c>
      <c r="AF64" s="160">
        <v>308.24444444444441</v>
      </c>
      <c r="AG64" s="160">
        <v>0</v>
      </c>
      <c r="AH64" s="160">
        <v>0</v>
      </c>
      <c r="AI64" s="160">
        <v>364.19444444444446</v>
      </c>
      <c r="AJ64" s="160">
        <v>308.24444444444441</v>
      </c>
      <c r="AK64" s="160">
        <v>364.19444444444446</v>
      </c>
      <c r="AL64" s="161">
        <v>53.594444444444441</v>
      </c>
      <c r="AM64" s="161">
        <v>0</v>
      </c>
      <c r="AN64" s="161">
        <v>53.594444444444441</v>
      </c>
      <c r="AO64" s="161">
        <v>364.19444444444446</v>
      </c>
      <c r="AP64" s="162">
        <v>74</v>
      </c>
      <c r="AQ64" s="168">
        <v>62</v>
      </c>
      <c r="AR64" s="160">
        <v>63</v>
      </c>
      <c r="AS64" s="160">
        <v>59</v>
      </c>
      <c r="AT64" s="160">
        <v>60</v>
      </c>
      <c r="AU64" s="160">
        <v>58</v>
      </c>
      <c r="AV64" s="160">
        <v>34</v>
      </c>
      <c r="AW64" s="160">
        <v>0</v>
      </c>
      <c r="AX64" s="160">
        <v>0</v>
      </c>
      <c r="AY64" s="160">
        <v>0</v>
      </c>
      <c r="AZ64" s="160">
        <v>0</v>
      </c>
      <c r="BA64" s="160">
        <v>0</v>
      </c>
      <c r="BB64" s="160">
        <v>0</v>
      </c>
      <c r="BC64" s="160">
        <v>336</v>
      </c>
      <c r="BD64" s="160">
        <v>0</v>
      </c>
      <c r="BE64" s="160">
        <v>0</v>
      </c>
      <c r="BF64" s="160">
        <v>410</v>
      </c>
      <c r="BG64" s="160">
        <v>336</v>
      </c>
      <c r="BH64" s="160">
        <v>410</v>
      </c>
      <c r="BI64" s="160">
        <v>52</v>
      </c>
      <c r="BJ64" s="160">
        <v>22</v>
      </c>
      <c r="BK64" s="160">
        <v>0</v>
      </c>
      <c r="BL64" s="160">
        <v>80</v>
      </c>
      <c r="BM64" s="160">
        <v>53</v>
      </c>
      <c r="BN64" s="162">
        <v>0</v>
      </c>
      <c r="BO64" s="162">
        <v>53</v>
      </c>
      <c r="BP64" s="162">
        <v>26</v>
      </c>
      <c r="BQ64" s="163">
        <v>9.0217391304347805E-2</v>
      </c>
      <c r="BR64" s="164">
        <v>22.864000000000001</v>
      </c>
      <c r="BS64" s="164">
        <v>21.864000000000001</v>
      </c>
      <c r="BT64" s="164">
        <v>20.864000000000001</v>
      </c>
      <c r="BU64" s="164">
        <v>22.864000000000001</v>
      </c>
      <c r="BV64" s="165">
        <v>0</v>
      </c>
      <c r="BW64" s="165">
        <v>0</v>
      </c>
      <c r="BX64" s="166">
        <v>0</v>
      </c>
      <c r="BY64" s="166">
        <v>21.566666000000001</v>
      </c>
      <c r="BZ64" s="166">
        <v>49.461111000000002</v>
      </c>
      <c r="CA64" s="166">
        <v>71.027777777777771</v>
      </c>
      <c r="CB64" s="166">
        <v>61.322222222222223</v>
      </c>
      <c r="CC64" s="166">
        <v>62.394444444444446</v>
      </c>
      <c r="CD64" s="166">
        <v>59.472222222222221</v>
      </c>
      <c r="CE64" s="166">
        <v>59.611111111111114</v>
      </c>
      <c r="CF64" s="166">
        <v>55.333333333333336</v>
      </c>
      <c r="CG64" s="166">
        <v>34.56666666666667</v>
      </c>
      <c r="CH64" s="166">
        <v>0</v>
      </c>
      <c r="CI64" s="166">
        <v>0</v>
      </c>
      <c r="CJ64" s="166">
        <v>0</v>
      </c>
      <c r="CK64" s="166">
        <v>0</v>
      </c>
      <c r="CL64" s="166">
        <v>0</v>
      </c>
      <c r="CM64" s="166">
        <v>0</v>
      </c>
      <c r="CN64" s="166">
        <v>332.7</v>
      </c>
      <c r="CO64" s="166">
        <v>0</v>
      </c>
      <c r="CP64" s="166">
        <v>0</v>
      </c>
      <c r="CQ64" s="166">
        <v>403.72777777777776</v>
      </c>
      <c r="CR64" s="166">
        <v>332.7</v>
      </c>
      <c r="CS64" s="166">
        <v>403.72777777777776</v>
      </c>
      <c r="CT64" s="166">
        <v>51.788888888888899</v>
      </c>
      <c r="CU64" s="166">
        <v>1</v>
      </c>
      <c r="CV64" s="166">
        <v>52.788888888888899</v>
      </c>
      <c r="CW64" s="166">
        <v>404.72777777777776</v>
      </c>
      <c r="CX64" s="166">
        <v>0</v>
      </c>
      <c r="CY64" s="166">
        <v>80</v>
      </c>
      <c r="CZ64" s="165">
        <v>6</v>
      </c>
      <c r="DA64" s="165">
        <v>86</v>
      </c>
      <c r="DB64" s="165">
        <v>64</v>
      </c>
      <c r="DC64" s="165">
        <v>58</v>
      </c>
      <c r="DD64" s="165">
        <v>65</v>
      </c>
      <c r="DE64" s="165">
        <v>49</v>
      </c>
      <c r="DF64" s="165">
        <v>51</v>
      </c>
      <c r="DG64" s="165">
        <v>47</v>
      </c>
      <c r="DH64" s="165">
        <v>0</v>
      </c>
      <c r="DI64" s="165">
        <v>0</v>
      </c>
      <c r="DJ64" s="165">
        <v>0</v>
      </c>
      <c r="DK64" s="165">
        <v>0</v>
      </c>
      <c r="DL64" s="165">
        <v>0</v>
      </c>
      <c r="DM64" s="165">
        <v>0</v>
      </c>
      <c r="DN64" s="165">
        <v>334</v>
      </c>
      <c r="DO64" s="165">
        <v>0</v>
      </c>
      <c r="DP64" s="165">
        <v>0</v>
      </c>
      <c r="DQ64" s="165">
        <v>420</v>
      </c>
      <c r="DR64" s="165">
        <v>334</v>
      </c>
      <c r="DS64" s="165">
        <v>420</v>
      </c>
      <c r="DT64" s="165">
        <v>0</v>
      </c>
      <c r="DU64" s="165">
        <v>75</v>
      </c>
      <c r="DV64" s="165">
        <v>29</v>
      </c>
      <c r="DW64" s="165">
        <v>0</v>
      </c>
      <c r="DX64" s="165">
        <v>29</v>
      </c>
      <c r="DY64" s="165">
        <v>420</v>
      </c>
      <c r="DZ64" s="165">
        <v>19</v>
      </c>
      <c r="EA64" s="166">
        <v>24.625</v>
      </c>
      <c r="EB64" s="166">
        <v>23.625</v>
      </c>
      <c r="EC64" s="166">
        <v>20.625</v>
      </c>
      <c r="ED64" s="166">
        <v>1</v>
      </c>
      <c r="EE64" s="166">
        <v>0</v>
      </c>
      <c r="EF64" s="166">
        <v>28.625</v>
      </c>
      <c r="EG64" s="167">
        <v>8.679378531073445E-2</v>
      </c>
      <c r="EH64" s="165"/>
      <c r="EI64" s="165">
        <v>74</v>
      </c>
      <c r="EJ64" s="165">
        <v>342</v>
      </c>
      <c r="EK64" s="165">
        <v>342</v>
      </c>
      <c r="EL64" s="165">
        <v>0</v>
      </c>
      <c r="EM64" s="165">
        <v>0</v>
      </c>
      <c r="EN64" s="165">
        <v>416</v>
      </c>
      <c r="EO64" s="165">
        <v>0</v>
      </c>
      <c r="EP64" s="165">
        <v>47</v>
      </c>
      <c r="EQ64" s="165">
        <v>47</v>
      </c>
      <c r="ER64" s="165">
        <v>47</v>
      </c>
      <c r="ES64" s="165">
        <v>0</v>
      </c>
      <c r="ET64" s="165">
        <v>0</v>
      </c>
      <c r="EU64" s="166">
        <v>8.6110000000000007</v>
      </c>
      <c r="EV64" s="166">
        <v>1</v>
      </c>
      <c r="EW64" s="166">
        <v>3.2949999999999999</v>
      </c>
      <c r="EX64" s="166">
        <v>0.59399999999999997</v>
      </c>
      <c r="EY64" s="166">
        <v>1.3759999999999999</v>
      </c>
      <c r="EZ64" s="166">
        <v>14.875999999999999</v>
      </c>
      <c r="FA64" s="166">
        <v>0</v>
      </c>
      <c r="FB64" s="166">
        <v>86.016666666666666</v>
      </c>
      <c r="FC64" s="166">
        <v>86.016666666666666</v>
      </c>
      <c r="FD64" s="166">
        <v>62.888888888888886</v>
      </c>
      <c r="FE64" s="166">
        <v>58.488888888888887</v>
      </c>
      <c r="FF64" s="166">
        <v>64.511111111111106</v>
      </c>
      <c r="FG64" s="166">
        <v>49.105555555555554</v>
      </c>
      <c r="FH64" s="166">
        <v>49.594444444444441</v>
      </c>
      <c r="FI64" s="166">
        <v>43.672222222222224</v>
      </c>
      <c r="FJ64" s="166">
        <v>0</v>
      </c>
      <c r="FK64" s="166">
        <v>0</v>
      </c>
      <c r="FL64" s="166">
        <v>0</v>
      </c>
      <c r="FM64" s="166">
        <v>0</v>
      </c>
      <c r="FN64" s="166">
        <v>0</v>
      </c>
      <c r="FO64" s="166">
        <v>0</v>
      </c>
      <c r="FP64" s="166">
        <v>328.26111111111106</v>
      </c>
      <c r="FQ64" s="166">
        <v>0</v>
      </c>
      <c r="FR64" s="166">
        <v>0</v>
      </c>
      <c r="FS64" s="166">
        <v>414.27777777777777</v>
      </c>
      <c r="FT64" s="166">
        <v>328.26111111111106</v>
      </c>
      <c r="FU64" s="166">
        <v>414.27777777777777</v>
      </c>
      <c r="FV64" s="166">
        <v>42.733333333333334</v>
      </c>
      <c r="FW64" s="166">
        <v>0</v>
      </c>
      <c r="FX64" s="166">
        <v>42.733333333333334</v>
      </c>
      <c r="FY64" s="166">
        <v>414.27777777777777</v>
      </c>
      <c r="FZ64" s="165">
        <v>4</v>
      </c>
      <c r="GA64" s="165">
        <v>93</v>
      </c>
      <c r="GB64" s="165">
        <v>97</v>
      </c>
      <c r="GC64" s="165">
        <v>91</v>
      </c>
      <c r="GD64" s="165">
        <v>66</v>
      </c>
      <c r="GE64" s="165">
        <v>52</v>
      </c>
      <c r="GF64" s="165">
        <v>71</v>
      </c>
      <c r="GG64" s="165">
        <v>38</v>
      </c>
      <c r="GH64" s="165">
        <v>40</v>
      </c>
      <c r="GI64" s="165">
        <v>0</v>
      </c>
      <c r="GJ64" s="165">
        <v>0</v>
      </c>
      <c r="GK64" s="165">
        <v>0</v>
      </c>
      <c r="GL64" s="165">
        <v>0</v>
      </c>
      <c r="GM64" s="165">
        <v>0</v>
      </c>
      <c r="GN64" s="165">
        <v>0</v>
      </c>
      <c r="GO64" s="165">
        <v>358</v>
      </c>
      <c r="GP64" s="165">
        <v>0</v>
      </c>
      <c r="GQ64" s="165">
        <v>0</v>
      </c>
      <c r="GR64" s="165">
        <v>455</v>
      </c>
      <c r="GS64" s="165">
        <v>358</v>
      </c>
      <c r="GT64" s="165">
        <v>455</v>
      </c>
      <c r="GU64" s="165">
        <v>0</v>
      </c>
      <c r="GV64" s="165">
        <v>92</v>
      </c>
      <c r="GW64" s="165">
        <v>36</v>
      </c>
      <c r="GX64" s="165">
        <v>0</v>
      </c>
      <c r="GY64" s="165">
        <v>36</v>
      </c>
      <c r="GZ64" s="165">
        <v>455</v>
      </c>
      <c r="HA64" s="165">
        <v>14</v>
      </c>
      <c r="HB64" s="166">
        <v>25.75</v>
      </c>
      <c r="HC64" s="166">
        <v>24.75</v>
      </c>
      <c r="HD64" s="166">
        <v>21</v>
      </c>
      <c r="HE64" s="166">
        <v>1</v>
      </c>
      <c r="HF64" s="166"/>
      <c r="HG64" s="166">
        <v>28.375</v>
      </c>
      <c r="HH64" s="166">
        <v>0</v>
      </c>
      <c r="HI64" s="166">
        <v>43</v>
      </c>
      <c r="HJ64" s="166">
        <v>43</v>
      </c>
      <c r="HK64" s="166">
        <v>43</v>
      </c>
      <c r="HL64" s="166">
        <v>0</v>
      </c>
      <c r="HM64" s="166">
        <v>0</v>
      </c>
      <c r="HN64" s="166">
        <v>95</v>
      </c>
      <c r="HO64" s="166">
        <v>360</v>
      </c>
      <c r="HP64" s="166">
        <v>360</v>
      </c>
      <c r="HQ64" s="166">
        <v>0</v>
      </c>
      <c r="HR64" s="166">
        <v>0</v>
      </c>
      <c r="HS64" s="166">
        <v>455</v>
      </c>
      <c r="HT64" s="166">
        <f>FY26_FE_Data_April15[[#This Row],[Oct 1, 2026 (CDC) - K]]+FY26_FE_Data_April15[[#This Row],[Oct 1, 2026 (CDC) - Grades 1-6]]+FY26_FE_Data_April15[[#This Row],[Oct 1, 2026 (CDC) - Grades 7-8]]</f>
        <v>455</v>
      </c>
      <c r="HU64" s="166">
        <v>0</v>
      </c>
      <c r="HW64" s="170"/>
      <c r="HY64" s="170"/>
    </row>
    <row r="65" spans="1:233" ht="26">
      <c r="A65" s="158" t="s">
        <v>407</v>
      </c>
      <c r="B65" s="159" t="s">
        <v>408</v>
      </c>
      <c r="C65" s="160" t="s">
        <v>409</v>
      </c>
      <c r="D65" s="160" t="s">
        <v>139</v>
      </c>
      <c r="E65" s="159" t="s">
        <v>784</v>
      </c>
      <c r="F65" s="159" t="s">
        <v>784</v>
      </c>
      <c r="G65" s="159"/>
      <c r="H65" s="161">
        <v>73.422222222222217</v>
      </c>
      <c r="I65" s="161">
        <v>8.2888888888888896</v>
      </c>
      <c r="J65" s="161">
        <v>81.711111111111109</v>
      </c>
      <c r="K65" s="162">
        <v>96</v>
      </c>
      <c r="L65" s="162">
        <v>582</v>
      </c>
      <c r="M65" s="162">
        <v>64</v>
      </c>
      <c r="N65" s="162">
        <v>26</v>
      </c>
      <c r="O65" s="162">
        <v>768</v>
      </c>
      <c r="P65" s="162">
        <v>672</v>
      </c>
      <c r="Q65" s="162">
        <v>742</v>
      </c>
      <c r="R65" s="162">
        <v>8</v>
      </c>
      <c r="S65" s="160">
        <v>95.538888888888891</v>
      </c>
      <c r="T65" s="160">
        <v>97.794444444444451</v>
      </c>
      <c r="U65" s="160">
        <v>102.63888888888889</v>
      </c>
      <c r="V65" s="160">
        <v>99.955555555555549</v>
      </c>
      <c r="W65" s="160">
        <v>102.56666666666666</v>
      </c>
      <c r="X65" s="160">
        <v>81.405555555555551</v>
      </c>
      <c r="Y65" s="160">
        <v>91.75</v>
      </c>
      <c r="Z65" s="160">
        <v>31.005555555555556</v>
      </c>
      <c r="AA65" s="160">
        <v>32.483333333333334</v>
      </c>
      <c r="AB65" s="160">
        <v>24.65</v>
      </c>
      <c r="AC65" s="160">
        <v>0</v>
      </c>
      <c r="AD65" s="160">
        <v>0</v>
      </c>
      <c r="AE65" s="160">
        <v>0</v>
      </c>
      <c r="AF65" s="160">
        <v>576.11111111111109</v>
      </c>
      <c r="AG65" s="160">
        <v>63.488888888888894</v>
      </c>
      <c r="AH65" s="160">
        <v>24.65</v>
      </c>
      <c r="AI65" s="160">
        <v>735.13888888888891</v>
      </c>
      <c r="AJ65" s="160">
        <v>664.25</v>
      </c>
      <c r="AK65" s="160">
        <v>759.78888888888889</v>
      </c>
      <c r="AL65" s="161">
        <v>76.905555555555551</v>
      </c>
      <c r="AM65" s="161">
        <v>7.4666666666666668</v>
      </c>
      <c r="AN65" s="161">
        <v>84.37222222222222</v>
      </c>
      <c r="AO65" s="161">
        <v>767.25555555555559</v>
      </c>
      <c r="AP65" s="162">
        <v>105</v>
      </c>
      <c r="AQ65" s="168">
        <v>109</v>
      </c>
      <c r="AR65" s="160">
        <v>88</v>
      </c>
      <c r="AS65" s="160">
        <v>92</v>
      </c>
      <c r="AT65" s="160">
        <v>106</v>
      </c>
      <c r="AU65" s="160">
        <v>96</v>
      </c>
      <c r="AV65" s="160">
        <v>82</v>
      </c>
      <c r="AW65" s="160">
        <v>54</v>
      </c>
      <c r="AX65" s="160">
        <v>32</v>
      </c>
      <c r="AY65" s="160">
        <v>24</v>
      </c>
      <c r="AZ65" s="160">
        <v>0</v>
      </c>
      <c r="BA65" s="160">
        <v>0</v>
      </c>
      <c r="BB65" s="160">
        <v>0</v>
      </c>
      <c r="BC65" s="160">
        <v>573</v>
      </c>
      <c r="BD65" s="160">
        <v>86</v>
      </c>
      <c r="BE65" s="160">
        <v>24</v>
      </c>
      <c r="BF65" s="160">
        <v>764</v>
      </c>
      <c r="BG65" s="160">
        <v>683</v>
      </c>
      <c r="BH65" s="160">
        <v>788</v>
      </c>
      <c r="BI65" s="160">
        <v>67</v>
      </c>
      <c r="BJ65" s="160">
        <v>38</v>
      </c>
      <c r="BK65" s="160">
        <v>0</v>
      </c>
      <c r="BL65" s="160">
        <v>97</v>
      </c>
      <c r="BM65" s="160">
        <v>87</v>
      </c>
      <c r="BN65" s="162">
        <v>8</v>
      </c>
      <c r="BO65" s="162">
        <v>95</v>
      </c>
      <c r="BP65" s="162">
        <v>8</v>
      </c>
      <c r="BQ65" s="163">
        <v>6.4017059766430018E-2</v>
      </c>
      <c r="BR65" s="164">
        <v>52.606999999999999</v>
      </c>
      <c r="BS65" s="164">
        <v>52.606999999999999</v>
      </c>
      <c r="BT65" s="164">
        <v>51.856999999999999</v>
      </c>
      <c r="BU65" s="164">
        <v>51.857000000000006</v>
      </c>
      <c r="BV65" s="165">
        <v>0</v>
      </c>
      <c r="BW65" s="165">
        <v>0</v>
      </c>
      <c r="BX65" s="166">
        <v>0</v>
      </c>
      <c r="BY65" s="166">
        <v>37.166665999999999</v>
      </c>
      <c r="BZ65" s="166">
        <v>66.561110999999997</v>
      </c>
      <c r="CA65" s="166">
        <v>103.72777777777777</v>
      </c>
      <c r="CB65" s="166">
        <v>106.37777777777778</v>
      </c>
      <c r="CC65" s="166">
        <v>82.466666666666669</v>
      </c>
      <c r="CD65" s="166">
        <v>89.922222222222217</v>
      </c>
      <c r="CE65" s="166">
        <v>104.04444444444445</v>
      </c>
      <c r="CF65" s="166">
        <v>92.694444444444443</v>
      </c>
      <c r="CG65" s="166">
        <v>80.944444444444443</v>
      </c>
      <c r="CH65" s="166">
        <v>54.755555555555553</v>
      </c>
      <c r="CI65" s="166">
        <v>32.116666666666667</v>
      </c>
      <c r="CJ65" s="166">
        <v>23.894444444444446</v>
      </c>
      <c r="CK65" s="166">
        <v>0</v>
      </c>
      <c r="CL65" s="166">
        <v>0</v>
      </c>
      <c r="CM65" s="166">
        <v>0</v>
      </c>
      <c r="CN65" s="166">
        <v>556.45000000000005</v>
      </c>
      <c r="CO65" s="166">
        <v>86.87222222222222</v>
      </c>
      <c r="CP65" s="166">
        <v>23.894444444444446</v>
      </c>
      <c r="CQ65" s="166">
        <v>747.05000000000007</v>
      </c>
      <c r="CR65" s="166">
        <v>667.2166666666667</v>
      </c>
      <c r="CS65" s="166">
        <v>770.94444444444457</v>
      </c>
      <c r="CT65" s="166">
        <v>84.261111111111106</v>
      </c>
      <c r="CU65" s="166">
        <v>8.1999999999999993</v>
      </c>
      <c r="CV65" s="166">
        <v>92.461111111111109</v>
      </c>
      <c r="CW65" s="166">
        <v>779.14444444444462</v>
      </c>
      <c r="CX65" s="166">
        <v>0</v>
      </c>
      <c r="CY65" s="166">
        <v>56</v>
      </c>
      <c r="CZ65" s="165">
        <v>32</v>
      </c>
      <c r="DA65" s="165">
        <v>88</v>
      </c>
      <c r="DB65" s="165">
        <v>105</v>
      </c>
      <c r="DC65" s="165">
        <v>97</v>
      </c>
      <c r="DD65" s="165">
        <v>75</v>
      </c>
      <c r="DE65" s="165">
        <v>89</v>
      </c>
      <c r="DF65" s="165">
        <v>95</v>
      </c>
      <c r="DG65" s="165">
        <v>96</v>
      </c>
      <c r="DH65" s="165">
        <v>24</v>
      </c>
      <c r="DI65" s="165">
        <v>49</v>
      </c>
      <c r="DJ65" s="165">
        <v>24</v>
      </c>
      <c r="DK65" s="165">
        <v>0</v>
      </c>
      <c r="DL65" s="165">
        <v>0</v>
      </c>
      <c r="DM65" s="165">
        <v>0</v>
      </c>
      <c r="DN65" s="165">
        <v>557</v>
      </c>
      <c r="DO65" s="165">
        <v>73</v>
      </c>
      <c r="DP65" s="165">
        <v>24</v>
      </c>
      <c r="DQ65" s="165">
        <v>718</v>
      </c>
      <c r="DR65" s="165">
        <v>654</v>
      </c>
      <c r="DS65" s="165">
        <v>742</v>
      </c>
      <c r="DT65" s="165">
        <v>0</v>
      </c>
      <c r="DU65" s="165">
        <v>79</v>
      </c>
      <c r="DV65" s="165">
        <v>69</v>
      </c>
      <c r="DW65" s="165">
        <v>8</v>
      </c>
      <c r="DX65" s="165">
        <v>77</v>
      </c>
      <c r="DY65" s="165">
        <v>750</v>
      </c>
      <c r="DZ65" s="165">
        <v>6</v>
      </c>
      <c r="EA65" s="166">
        <v>51.905000000000001</v>
      </c>
      <c r="EB65" s="166">
        <v>51.905000000000001</v>
      </c>
      <c r="EC65" s="166">
        <v>38.162000000000006</v>
      </c>
      <c r="ED65" s="166">
        <v>10.57</v>
      </c>
      <c r="EE65" s="166">
        <v>0</v>
      </c>
      <c r="EF65" s="166">
        <v>52.904999999999994</v>
      </c>
      <c r="EG65" s="167">
        <v>6.3481600910470393E-2</v>
      </c>
      <c r="EH65" s="165"/>
      <c r="EI65" s="165">
        <v>96</v>
      </c>
      <c r="EJ65" s="165">
        <v>645</v>
      </c>
      <c r="EK65" s="165">
        <v>552</v>
      </c>
      <c r="EL65" s="165">
        <v>69</v>
      </c>
      <c r="EM65" s="165">
        <v>24</v>
      </c>
      <c r="EN65" s="165">
        <v>741</v>
      </c>
      <c r="EO65" s="165">
        <v>0</v>
      </c>
      <c r="EP65" s="165">
        <v>89</v>
      </c>
      <c r="EQ65" s="165">
        <v>89</v>
      </c>
      <c r="ER65" s="165">
        <v>83</v>
      </c>
      <c r="ES65" s="165">
        <v>6</v>
      </c>
      <c r="ET65" s="165">
        <v>35</v>
      </c>
      <c r="EU65" s="166">
        <v>7.5</v>
      </c>
      <c r="EV65" s="166">
        <v>0.75</v>
      </c>
      <c r="EW65" s="166">
        <v>2</v>
      </c>
      <c r="EX65" s="166">
        <v>0</v>
      </c>
      <c r="EY65" s="166">
        <v>3.5</v>
      </c>
      <c r="EZ65" s="166">
        <v>13.75</v>
      </c>
      <c r="FA65" s="166">
        <v>31.327777777777779</v>
      </c>
      <c r="FB65" s="166">
        <v>55.994444444444447</v>
      </c>
      <c r="FC65" s="166">
        <v>87.322222222222223</v>
      </c>
      <c r="FD65" s="166">
        <v>101.87777777777778</v>
      </c>
      <c r="FE65" s="166">
        <v>96.766666666666666</v>
      </c>
      <c r="FF65" s="166">
        <v>74.427777777777777</v>
      </c>
      <c r="FG65" s="166">
        <v>86.988888888888894</v>
      </c>
      <c r="FH65" s="166">
        <v>94.983333333333334</v>
      </c>
      <c r="FI65" s="166">
        <v>93.805555555555557</v>
      </c>
      <c r="FJ65" s="166">
        <v>23.95</v>
      </c>
      <c r="FK65" s="166">
        <v>50.744444444444447</v>
      </c>
      <c r="FL65" s="166">
        <v>23.927777777777777</v>
      </c>
      <c r="FM65" s="166">
        <v>0</v>
      </c>
      <c r="FN65" s="166">
        <v>0</v>
      </c>
      <c r="FO65" s="166">
        <v>0</v>
      </c>
      <c r="FP65" s="166">
        <v>548.85</v>
      </c>
      <c r="FQ65" s="166">
        <v>74.694444444444443</v>
      </c>
      <c r="FR65" s="166">
        <v>23.927777777777777</v>
      </c>
      <c r="FS65" s="166">
        <v>710.86666666666656</v>
      </c>
      <c r="FT65" s="166">
        <v>647.47222222222229</v>
      </c>
      <c r="FU65" s="166">
        <v>734.79444444444437</v>
      </c>
      <c r="FV65" s="166">
        <v>81.5</v>
      </c>
      <c r="FW65" s="166">
        <v>5.5</v>
      </c>
      <c r="FX65" s="166">
        <v>87</v>
      </c>
      <c r="FY65" s="166">
        <v>740.29444444444437</v>
      </c>
      <c r="FZ65" s="165">
        <v>43</v>
      </c>
      <c r="GA65" s="165">
        <v>87</v>
      </c>
      <c r="GB65" s="165">
        <v>130</v>
      </c>
      <c r="GC65" s="165">
        <v>93</v>
      </c>
      <c r="GD65" s="165">
        <v>98</v>
      </c>
      <c r="GE65" s="165">
        <v>95</v>
      </c>
      <c r="GF65" s="165">
        <v>72</v>
      </c>
      <c r="GG65" s="165">
        <v>81</v>
      </c>
      <c r="GH65" s="165">
        <v>89</v>
      </c>
      <c r="GI65" s="165">
        <v>44</v>
      </c>
      <c r="GJ65" s="165">
        <v>25</v>
      </c>
      <c r="GK65" s="165">
        <v>33</v>
      </c>
      <c r="GL65" s="165">
        <v>0</v>
      </c>
      <c r="GM65" s="165">
        <v>0</v>
      </c>
      <c r="GN65" s="165">
        <v>0</v>
      </c>
      <c r="GO65" s="165">
        <v>528</v>
      </c>
      <c r="GP65" s="165">
        <v>69</v>
      </c>
      <c r="GQ65" s="165">
        <v>33</v>
      </c>
      <c r="GR65" s="165">
        <v>727</v>
      </c>
      <c r="GS65" s="165">
        <v>630</v>
      </c>
      <c r="GT65" s="165">
        <v>760</v>
      </c>
      <c r="GU65" s="165">
        <v>0</v>
      </c>
      <c r="GV65" s="165">
        <v>65</v>
      </c>
      <c r="GW65" s="165">
        <v>90</v>
      </c>
      <c r="GX65" s="165">
        <v>3</v>
      </c>
      <c r="GY65" s="165">
        <v>93</v>
      </c>
      <c r="GZ65" s="165">
        <v>763</v>
      </c>
      <c r="HA65" s="165">
        <v>5</v>
      </c>
      <c r="HB65" s="166">
        <v>52.564</v>
      </c>
      <c r="HC65" s="166">
        <v>52.564</v>
      </c>
      <c r="HD65" s="166">
        <v>37.680999999999997</v>
      </c>
      <c r="HE65" s="166">
        <v>10.102999999999998</v>
      </c>
      <c r="HF65" s="166"/>
      <c r="HG65" s="166">
        <v>53.564</v>
      </c>
      <c r="HH65" s="166">
        <v>0</v>
      </c>
      <c r="HI65" s="166">
        <v>100</v>
      </c>
      <c r="HJ65" s="166">
        <v>100</v>
      </c>
      <c r="HK65" s="166">
        <v>97</v>
      </c>
      <c r="HL65" s="166">
        <v>3</v>
      </c>
      <c r="HM65" s="166">
        <v>35</v>
      </c>
      <c r="HN65" s="166">
        <v>90</v>
      </c>
      <c r="HO65" s="166">
        <v>670</v>
      </c>
      <c r="HP65" s="166">
        <v>559</v>
      </c>
      <c r="HQ65" s="166">
        <v>81</v>
      </c>
      <c r="HR65" s="166">
        <v>30</v>
      </c>
      <c r="HS65" s="166">
        <v>760</v>
      </c>
      <c r="HT65" s="166">
        <f>FY26_FE_Data_April15[[#This Row],[Oct 1, 2026 (CDC) - K]]+FY26_FE_Data_April15[[#This Row],[Oct 1, 2026 (CDC) - Grades 1-6]]+FY26_FE_Data_April15[[#This Row],[Oct 1, 2026 (CDC) - Grades 7-8]]</f>
        <v>730</v>
      </c>
      <c r="HU65" s="166">
        <v>0</v>
      </c>
      <c r="HW65" s="170"/>
      <c r="HY65" s="170"/>
    </row>
    <row r="66" spans="1:233" ht="52">
      <c r="A66" s="158" t="s">
        <v>410</v>
      </c>
      <c r="B66" s="159" t="s">
        <v>411</v>
      </c>
      <c r="C66" s="160" t="s">
        <v>412</v>
      </c>
      <c r="D66" s="160" t="s">
        <v>139</v>
      </c>
      <c r="E66" s="159" t="s">
        <v>784</v>
      </c>
      <c r="F66" s="159" t="s">
        <v>784</v>
      </c>
      <c r="G66" s="159"/>
      <c r="H66" s="161">
        <v>17.294444444444444</v>
      </c>
      <c r="I66" s="161">
        <v>1.7666666666666666</v>
      </c>
      <c r="J66" s="161">
        <v>19.06111111111111</v>
      </c>
      <c r="K66" s="162">
        <v>50</v>
      </c>
      <c r="L66" s="162">
        <v>236</v>
      </c>
      <c r="M66" s="162">
        <v>0</v>
      </c>
      <c r="N66" s="162">
        <v>0</v>
      </c>
      <c r="O66" s="162">
        <v>286</v>
      </c>
      <c r="P66" s="162">
        <v>236</v>
      </c>
      <c r="Q66" s="162">
        <v>286</v>
      </c>
      <c r="R66" s="162">
        <v>1</v>
      </c>
      <c r="S66" s="160">
        <v>48.494444444444447</v>
      </c>
      <c r="T66" s="160">
        <v>44.255555555555553</v>
      </c>
      <c r="U66" s="160">
        <v>46.355555555555554</v>
      </c>
      <c r="V66" s="160">
        <v>46.261111111111113</v>
      </c>
      <c r="W66" s="160">
        <v>39.31666666666667</v>
      </c>
      <c r="X66" s="160">
        <v>30.488888888888887</v>
      </c>
      <c r="Y66" s="160">
        <v>23.43888888888889</v>
      </c>
      <c r="Z66" s="160">
        <v>0</v>
      </c>
      <c r="AA66" s="160">
        <v>0</v>
      </c>
      <c r="AB66" s="160">
        <v>0</v>
      </c>
      <c r="AC66" s="160">
        <v>0</v>
      </c>
      <c r="AD66" s="160">
        <v>0</v>
      </c>
      <c r="AE66" s="160">
        <v>0</v>
      </c>
      <c r="AF66" s="160">
        <v>230.11666666666667</v>
      </c>
      <c r="AG66" s="160">
        <v>0</v>
      </c>
      <c r="AH66" s="160">
        <v>0</v>
      </c>
      <c r="AI66" s="160">
        <v>278.61111111111109</v>
      </c>
      <c r="AJ66" s="160">
        <v>230.11666666666667</v>
      </c>
      <c r="AK66" s="160">
        <v>278.61111111111109</v>
      </c>
      <c r="AL66" s="161">
        <v>21.927777777777777</v>
      </c>
      <c r="AM66" s="161">
        <v>1</v>
      </c>
      <c r="AN66" s="161">
        <v>22.927777777777777</v>
      </c>
      <c r="AO66" s="161">
        <v>279.61111111111109</v>
      </c>
      <c r="AP66" s="162">
        <v>50</v>
      </c>
      <c r="AQ66" s="168">
        <v>44</v>
      </c>
      <c r="AR66" s="160">
        <v>43</v>
      </c>
      <c r="AS66" s="160">
        <v>43</v>
      </c>
      <c r="AT66" s="160">
        <v>47</v>
      </c>
      <c r="AU66" s="160">
        <v>36</v>
      </c>
      <c r="AV66" s="160">
        <v>28</v>
      </c>
      <c r="AW66" s="160">
        <v>0</v>
      </c>
      <c r="AX66" s="160">
        <v>0</v>
      </c>
      <c r="AY66" s="160">
        <v>0</v>
      </c>
      <c r="AZ66" s="160">
        <v>0</v>
      </c>
      <c r="BA66" s="160">
        <v>0</v>
      </c>
      <c r="BB66" s="160">
        <v>0</v>
      </c>
      <c r="BC66" s="160">
        <v>241</v>
      </c>
      <c r="BD66" s="160">
        <v>0</v>
      </c>
      <c r="BE66" s="160">
        <v>0</v>
      </c>
      <c r="BF66" s="160">
        <v>291</v>
      </c>
      <c r="BG66" s="160">
        <v>241</v>
      </c>
      <c r="BH66" s="160">
        <v>291</v>
      </c>
      <c r="BI66" s="160">
        <v>50</v>
      </c>
      <c r="BJ66" s="160">
        <v>0</v>
      </c>
      <c r="BK66" s="160">
        <v>0</v>
      </c>
      <c r="BL66" s="160">
        <v>277</v>
      </c>
      <c r="BM66" s="160">
        <v>19</v>
      </c>
      <c r="BN66" s="162">
        <v>1</v>
      </c>
      <c r="BO66" s="162">
        <v>20</v>
      </c>
      <c r="BP66" s="162">
        <v>192</v>
      </c>
      <c r="BQ66" s="163">
        <v>7.718253968253963E-2</v>
      </c>
      <c r="BR66" s="164">
        <v>19.75</v>
      </c>
      <c r="BS66" s="164">
        <v>17.75</v>
      </c>
      <c r="BT66" s="164">
        <v>16.75</v>
      </c>
      <c r="BU66" s="164">
        <v>19.75</v>
      </c>
      <c r="BV66" s="165">
        <v>0</v>
      </c>
      <c r="BW66" s="165">
        <v>0</v>
      </c>
      <c r="BX66" s="166">
        <v>0</v>
      </c>
      <c r="BY66" s="166">
        <v>0</v>
      </c>
      <c r="BZ66" s="166">
        <v>49.627777000000002</v>
      </c>
      <c r="CA66" s="166">
        <v>49.62777777777778</v>
      </c>
      <c r="CB66" s="166">
        <v>41.461111111111109</v>
      </c>
      <c r="CC66" s="166">
        <v>42.211111111111109</v>
      </c>
      <c r="CD66" s="166">
        <v>41.466666666666669</v>
      </c>
      <c r="CE66" s="166">
        <v>46.161111111111111</v>
      </c>
      <c r="CF66" s="166">
        <v>35.211111111111109</v>
      </c>
      <c r="CG66" s="166">
        <v>26.894444444444446</v>
      </c>
      <c r="CH66" s="166">
        <v>0</v>
      </c>
      <c r="CI66" s="166">
        <v>0</v>
      </c>
      <c r="CJ66" s="166">
        <v>0</v>
      </c>
      <c r="CK66" s="166">
        <v>0</v>
      </c>
      <c r="CL66" s="166">
        <v>0</v>
      </c>
      <c r="CM66" s="166">
        <v>0</v>
      </c>
      <c r="CN66" s="166">
        <v>233.40555555555557</v>
      </c>
      <c r="CO66" s="166">
        <v>0</v>
      </c>
      <c r="CP66" s="166">
        <v>0</v>
      </c>
      <c r="CQ66" s="166">
        <v>283.03333333333336</v>
      </c>
      <c r="CR66" s="166">
        <v>233.40555555555557</v>
      </c>
      <c r="CS66" s="166">
        <v>283.03333333333336</v>
      </c>
      <c r="CT66" s="166">
        <v>21.077777777777801</v>
      </c>
      <c r="CU66" s="166">
        <v>0</v>
      </c>
      <c r="CV66" s="166">
        <v>21.077777777777801</v>
      </c>
      <c r="CW66" s="166">
        <v>283.03333333333336</v>
      </c>
      <c r="CX66" s="166">
        <v>0</v>
      </c>
      <c r="CY66" s="166">
        <v>48</v>
      </c>
      <c r="CZ66" s="165">
        <v>0</v>
      </c>
      <c r="DA66" s="165">
        <v>48</v>
      </c>
      <c r="DB66" s="165">
        <v>49</v>
      </c>
      <c r="DC66" s="165">
        <v>34</v>
      </c>
      <c r="DD66" s="165">
        <v>46</v>
      </c>
      <c r="DE66" s="165">
        <v>38</v>
      </c>
      <c r="DF66" s="165">
        <v>46</v>
      </c>
      <c r="DG66" s="165">
        <v>31</v>
      </c>
      <c r="DH66" s="165">
        <v>0</v>
      </c>
      <c r="DI66" s="165">
        <v>0</v>
      </c>
      <c r="DJ66" s="165">
        <v>0</v>
      </c>
      <c r="DK66" s="165">
        <v>0</v>
      </c>
      <c r="DL66" s="165">
        <v>0</v>
      </c>
      <c r="DM66" s="165">
        <v>0</v>
      </c>
      <c r="DN66" s="165">
        <v>244</v>
      </c>
      <c r="DO66" s="165">
        <v>0</v>
      </c>
      <c r="DP66" s="165">
        <v>0</v>
      </c>
      <c r="DQ66" s="165">
        <v>292</v>
      </c>
      <c r="DR66" s="165">
        <v>244</v>
      </c>
      <c r="DS66" s="165">
        <v>292</v>
      </c>
      <c r="DT66" s="165">
        <v>0</v>
      </c>
      <c r="DU66" s="165">
        <v>269</v>
      </c>
      <c r="DV66" s="165">
        <v>23</v>
      </c>
      <c r="DW66" s="165">
        <v>0</v>
      </c>
      <c r="DX66" s="165">
        <v>23</v>
      </c>
      <c r="DY66" s="165">
        <v>292</v>
      </c>
      <c r="DZ66" s="165">
        <v>145</v>
      </c>
      <c r="EA66" s="166">
        <v>15.895</v>
      </c>
      <c r="EB66" s="166">
        <v>13.895</v>
      </c>
      <c r="EC66" s="166">
        <v>12</v>
      </c>
      <c r="ED66" s="166">
        <v>0</v>
      </c>
      <c r="EE66" s="166">
        <v>0</v>
      </c>
      <c r="EF66" s="166">
        <v>18.895</v>
      </c>
      <c r="EG66" s="167">
        <v>7.0799824076401119E-2</v>
      </c>
      <c r="EH66" s="165"/>
      <c r="EI66" s="165">
        <v>48</v>
      </c>
      <c r="EJ66" s="165">
        <v>242</v>
      </c>
      <c r="EK66" s="165">
        <v>242</v>
      </c>
      <c r="EL66" s="165">
        <v>0</v>
      </c>
      <c r="EM66" s="165">
        <v>0</v>
      </c>
      <c r="EN66" s="165">
        <v>290</v>
      </c>
      <c r="EO66" s="165">
        <v>0</v>
      </c>
      <c r="EP66" s="165">
        <v>26</v>
      </c>
      <c r="EQ66" s="165">
        <v>26</v>
      </c>
      <c r="ER66" s="165">
        <v>25</v>
      </c>
      <c r="ES66" s="165">
        <v>1</v>
      </c>
      <c r="ET66" s="165">
        <v>2</v>
      </c>
      <c r="EU66" s="166">
        <v>14.667</v>
      </c>
      <c r="EV66" s="166">
        <v>1</v>
      </c>
      <c r="EW66" s="166">
        <v>1.9259999999999999</v>
      </c>
      <c r="EX66" s="166">
        <v>3.7559999999999998</v>
      </c>
      <c r="EY66" s="166">
        <v>11.436999999999999</v>
      </c>
      <c r="EZ66" s="166">
        <v>32.786000000000001</v>
      </c>
      <c r="FA66" s="166">
        <v>0</v>
      </c>
      <c r="FB66" s="166">
        <v>43.6</v>
      </c>
      <c r="FC66" s="166">
        <v>43.6</v>
      </c>
      <c r="FD66" s="166">
        <v>46.15</v>
      </c>
      <c r="FE66" s="166">
        <v>34.055555555555557</v>
      </c>
      <c r="FF66" s="166">
        <v>45.305555555555557</v>
      </c>
      <c r="FG66" s="166">
        <v>36.205555555555556</v>
      </c>
      <c r="FH66" s="166">
        <v>43.716666666666669</v>
      </c>
      <c r="FI66" s="166">
        <v>31</v>
      </c>
      <c r="FJ66" s="166">
        <v>0</v>
      </c>
      <c r="FK66" s="166">
        <v>0</v>
      </c>
      <c r="FL66" s="166">
        <v>0</v>
      </c>
      <c r="FM66" s="166">
        <v>0</v>
      </c>
      <c r="FN66" s="166">
        <v>0</v>
      </c>
      <c r="FO66" s="166">
        <v>0</v>
      </c>
      <c r="FP66" s="166">
        <v>236.43333333333334</v>
      </c>
      <c r="FQ66" s="166">
        <v>0</v>
      </c>
      <c r="FR66" s="166">
        <v>0</v>
      </c>
      <c r="FS66" s="166">
        <v>280.0333333333333</v>
      </c>
      <c r="FT66" s="166">
        <v>236.43333333333334</v>
      </c>
      <c r="FU66" s="166">
        <v>280.0333333333333</v>
      </c>
      <c r="FV66" s="166">
        <v>28.005555555555556</v>
      </c>
      <c r="FW66" s="166">
        <v>0.69444444444444442</v>
      </c>
      <c r="FX66" s="166">
        <v>28.7</v>
      </c>
      <c r="FY66" s="166">
        <v>280.72777777777776</v>
      </c>
      <c r="FZ66" s="165">
        <v>0</v>
      </c>
      <c r="GA66" s="165">
        <v>44</v>
      </c>
      <c r="GB66" s="165">
        <v>44</v>
      </c>
      <c r="GC66" s="165">
        <v>37</v>
      </c>
      <c r="GD66" s="165">
        <v>47</v>
      </c>
      <c r="GE66" s="165">
        <v>31</v>
      </c>
      <c r="GF66" s="165">
        <v>40</v>
      </c>
      <c r="GG66" s="165">
        <v>30</v>
      </c>
      <c r="GH66" s="165">
        <v>29</v>
      </c>
      <c r="GI66" s="165">
        <v>0</v>
      </c>
      <c r="GJ66" s="165">
        <v>0</v>
      </c>
      <c r="GK66" s="165">
        <v>0</v>
      </c>
      <c r="GL66" s="165">
        <v>0</v>
      </c>
      <c r="GM66" s="165">
        <v>0</v>
      </c>
      <c r="GN66" s="165">
        <v>0</v>
      </c>
      <c r="GO66" s="165">
        <v>214</v>
      </c>
      <c r="GP66" s="165">
        <v>0</v>
      </c>
      <c r="GQ66" s="165">
        <v>0</v>
      </c>
      <c r="GR66" s="165">
        <v>258</v>
      </c>
      <c r="GS66" s="165">
        <v>214</v>
      </c>
      <c r="GT66" s="165">
        <v>258</v>
      </c>
      <c r="GU66" s="165">
        <v>0</v>
      </c>
      <c r="GV66" s="165">
        <v>229</v>
      </c>
      <c r="GW66" s="165">
        <v>27</v>
      </c>
      <c r="GX66" s="165">
        <v>0</v>
      </c>
      <c r="GY66" s="165">
        <v>27</v>
      </c>
      <c r="GZ66" s="165">
        <v>258</v>
      </c>
      <c r="HA66" s="165">
        <v>166</v>
      </c>
      <c r="HB66" s="166">
        <v>17.690999999999999</v>
      </c>
      <c r="HC66" s="166">
        <v>15.690999999999999</v>
      </c>
      <c r="HD66" s="166">
        <v>14.466999999999999</v>
      </c>
      <c r="HE66" s="166">
        <v>0</v>
      </c>
      <c r="HF66" s="166"/>
      <c r="HG66" s="166">
        <v>17.690999999999999</v>
      </c>
      <c r="HH66" s="166">
        <v>0</v>
      </c>
      <c r="HI66" s="166">
        <v>28</v>
      </c>
      <c r="HJ66" s="166">
        <v>28</v>
      </c>
      <c r="HK66" s="166">
        <v>28</v>
      </c>
      <c r="HL66" s="166">
        <v>0</v>
      </c>
      <c r="HM66" s="166">
        <v>5</v>
      </c>
      <c r="HN66" s="166">
        <v>40</v>
      </c>
      <c r="HO66" s="166">
        <v>240</v>
      </c>
      <c r="HP66" s="166">
        <v>240</v>
      </c>
      <c r="HQ66" s="166">
        <v>0</v>
      </c>
      <c r="HR66" s="166">
        <v>0</v>
      </c>
      <c r="HS66" s="166">
        <v>280</v>
      </c>
      <c r="HT66" s="166">
        <f>FY26_FE_Data_April15[[#This Row],[Oct 1, 2026 (CDC) - K]]+FY26_FE_Data_April15[[#This Row],[Oct 1, 2026 (CDC) - Grades 1-6]]+FY26_FE_Data_April15[[#This Row],[Oct 1, 2026 (CDC) - Grades 7-8]]</f>
        <v>280</v>
      </c>
      <c r="HU66" s="166">
        <v>0</v>
      </c>
      <c r="HW66" s="170"/>
      <c r="HY66" s="170"/>
    </row>
    <row r="67" spans="1:233" ht="26">
      <c r="A67" s="158" t="s">
        <v>413</v>
      </c>
      <c r="B67" s="159" t="s">
        <v>414</v>
      </c>
      <c r="C67" s="160" t="s">
        <v>415</v>
      </c>
      <c r="D67" s="160" t="s">
        <v>139</v>
      </c>
      <c r="E67" s="159" t="s">
        <v>784</v>
      </c>
      <c r="F67" s="159" t="s">
        <v>784</v>
      </c>
      <c r="G67" s="159"/>
      <c r="H67" s="161">
        <v>136.63333333333333</v>
      </c>
      <c r="I67" s="161">
        <v>10.455555555555556</v>
      </c>
      <c r="J67" s="161">
        <v>147.08888888888887</v>
      </c>
      <c r="K67" s="162">
        <v>109</v>
      </c>
      <c r="L67" s="162">
        <v>632</v>
      </c>
      <c r="M67" s="162">
        <v>194</v>
      </c>
      <c r="N67" s="162">
        <v>84</v>
      </c>
      <c r="O67" s="162">
        <v>1019</v>
      </c>
      <c r="P67" s="162">
        <v>910</v>
      </c>
      <c r="Q67" s="162">
        <v>935</v>
      </c>
      <c r="R67" s="162">
        <v>10</v>
      </c>
      <c r="S67" s="160">
        <v>107.7</v>
      </c>
      <c r="T67" s="160">
        <v>102.63888888888889</v>
      </c>
      <c r="U67" s="160">
        <v>103.59444444444445</v>
      </c>
      <c r="V67" s="160">
        <v>105.84444444444445</v>
      </c>
      <c r="W67" s="160">
        <v>103.48333333333333</v>
      </c>
      <c r="X67" s="160">
        <v>108.52777777777777</v>
      </c>
      <c r="Y67" s="160">
        <v>101.19444444444444</v>
      </c>
      <c r="Z67" s="160">
        <v>99.677777777777777</v>
      </c>
      <c r="AA67" s="160">
        <v>91.411111111111111</v>
      </c>
      <c r="AB67" s="160">
        <v>82.733333333333334</v>
      </c>
      <c r="AC67" s="160">
        <v>0</v>
      </c>
      <c r="AD67" s="160">
        <v>0</v>
      </c>
      <c r="AE67" s="160">
        <v>0</v>
      </c>
      <c r="AF67" s="160">
        <v>625.28333333333342</v>
      </c>
      <c r="AG67" s="160">
        <v>191.0888888888889</v>
      </c>
      <c r="AH67" s="160">
        <v>82.733333333333334</v>
      </c>
      <c r="AI67" s="160">
        <v>924.07222222222219</v>
      </c>
      <c r="AJ67" s="160">
        <v>899.10555555555572</v>
      </c>
      <c r="AK67" s="160">
        <v>1006.8055555555555</v>
      </c>
      <c r="AL67" s="161">
        <v>137.85555555555555</v>
      </c>
      <c r="AM67" s="161">
        <v>9.8333333333333339</v>
      </c>
      <c r="AN67" s="161">
        <v>147.6888888888889</v>
      </c>
      <c r="AO67" s="161">
        <v>1016.6388888888889</v>
      </c>
      <c r="AP67" s="162">
        <v>108</v>
      </c>
      <c r="AQ67" s="168">
        <v>104</v>
      </c>
      <c r="AR67" s="160">
        <v>106</v>
      </c>
      <c r="AS67" s="160">
        <v>106</v>
      </c>
      <c r="AT67" s="160">
        <v>100</v>
      </c>
      <c r="AU67" s="160">
        <v>106</v>
      </c>
      <c r="AV67" s="160">
        <v>107</v>
      </c>
      <c r="AW67" s="160">
        <v>96</v>
      </c>
      <c r="AX67" s="160">
        <v>93</v>
      </c>
      <c r="AY67" s="160">
        <v>85</v>
      </c>
      <c r="AZ67" s="160">
        <v>0</v>
      </c>
      <c r="BA67" s="160">
        <v>0</v>
      </c>
      <c r="BB67" s="160">
        <v>0</v>
      </c>
      <c r="BC67" s="160">
        <v>629</v>
      </c>
      <c r="BD67" s="160">
        <v>189</v>
      </c>
      <c r="BE67" s="160">
        <v>85</v>
      </c>
      <c r="BF67" s="160">
        <v>926</v>
      </c>
      <c r="BG67" s="160">
        <v>903</v>
      </c>
      <c r="BH67" s="160">
        <v>1011</v>
      </c>
      <c r="BI67" s="160">
        <v>88</v>
      </c>
      <c r="BJ67" s="160">
        <v>20</v>
      </c>
      <c r="BK67" s="160">
        <v>0</v>
      </c>
      <c r="BL67" s="160">
        <v>181</v>
      </c>
      <c r="BM67" s="160">
        <v>141</v>
      </c>
      <c r="BN67" s="162">
        <v>10</v>
      </c>
      <c r="BO67" s="162">
        <v>151</v>
      </c>
      <c r="BP67" s="162">
        <v>6</v>
      </c>
      <c r="BQ67" s="163">
        <v>6.4367089373442099E-2</v>
      </c>
      <c r="BR67" s="164">
        <v>47.724999999999994</v>
      </c>
      <c r="BS67" s="164">
        <v>45.724999999999994</v>
      </c>
      <c r="BT67" s="164">
        <v>45.324999999999996</v>
      </c>
      <c r="BU67" s="164">
        <v>49.215000000000003</v>
      </c>
      <c r="BV67" s="165">
        <v>0</v>
      </c>
      <c r="BW67" s="165">
        <v>0</v>
      </c>
      <c r="BX67" s="166">
        <v>0</v>
      </c>
      <c r="BY67" s="166">
        <v>21.088888000000001</v>
      </c>
      <c r="BZ67" s="166">
        <v>84.566665999999998</v>
      </c>
      <c r="CA67" s="166">
        <v>105.65555555555555</v>
      </c>
      <c r="CB67" s="166">
        <v>104.06111111111112</v>
      </c>
      <c r="CC67" s="166">
        <v>104.56666666666666</v>
      </c>
      <c r="CD67" s="166">
        <v>103.59444444444445</v>
      </c>
      <c r="CE67" s="166">
        <v>98.45</v>
      </c>
      <c r="CF67" s="166">
        <v>104.01666666666667</v>
      </c>
      <c r="CG67" s="166">
        <v>105.82222222222222</v>
      </c>
      <c r="CH67" s="166">
        <v>93.716666666666669</v>
      </c>
      <c r="CI67" s="166">
        <v>89.7</v>
      </c>
      <c r="CJ67" s="166">
        <v>83.172222222222217</v>
      </c>
      <c r="CK67" s="166">
        <v>0</v>
      </c>
      <c r="CL67" s="166">
        <v>0</v>
      </c>
      <c r="CM67" s="166">
        <v>0</v>
      </c>
      <c r="CN67" s="166">
        <v>620.51111111111106</v>
      </c>
      <c r="CO67" s="166">
        <v>183.41666666666669</v>
      </c>
      <c r="CP67" s="166">
        <v>83.172222222222217</v>
      </c>
      <c r="CQ67" s="166">
        <v>909.58333333333337</v>
      </c>
      <c r="CR67" s="166">
        <v>887.1</v>
      </c>
      <c r="CS67" s="166">
        <v>992.75555555555559</v>
      </c>
      <c r="CT67" s="166">
        <v>139.166666666667</v>
      </c>
      <c r="CU67" s="166">
        <v>8.9722222222222197</v>
      </c>
      <c r="CV67" s="166">
        <v>148.13888888888923</v>
      </c>
      <c r="CW67" s="166">
        <v>1001.7277777777778</v>
      </c>
      <c r="CX67" s="166">
        <v>0</v>
      </c>
      <c r="CY67" s="166">
        <v>86</v>
      </c>
      <c r="CZ67" s="165">
        <v>21</v>
      </c>
      <c r="DA67" s="165">
        <v>107</v>
      </c>
      <c r="DB67" s="165">
        <v>104</v>
      </c>
      <c r="DC67" s="165">
        <v>107</v>
      </c>
      <c r="DD67" s="165">
        <v>107</v>
      </c>
      <c r="DE67" s="165">
        <v>107</v>
      </c>
      <c r="DF67" s="165">
        <v>108</v>
      </c>
      <c r="DG67" s="165">
        <v>102</v>
      </c>
      <c r="DH67" s="165">
        <v>95</v>
      </c>
      <c r="DI67" s="165">
        <v>88</v>
      </c>
      <c r="DJ67" s="165">
        <v>85</v>
      </c>
      <c r="DK67" s="165">
        <v>0</v>
      </c>
      <c r="DL67" s="165">
        <v>0</v>
      </c>
      <c r="DM67" s="165">
        <v>0</v>
      </c>
      <c r="DN67" s="165">
        <v>635</v>
      </c>
      <c r="DO67" s="165">
        <v>183</v>
      </c>
      <c r="DP67" s="165">
        <v>85</v>
      </c>
      <c r="DQ67" s="165">
        <v>925</v>
      </c>
      <c r="DR67" s="165">
        <v>903</v>
      </c>
      <c r="DS67" s="165">
        <v>1010</v>
      </c>
      <c r="DT67" s="165">
        <v>0</v>
      </c>
      <c r="DU67" s="165">
        <v>229</v>
      </c>
      <c r="DV67" s="165">
        <v>133</v>
      </c>
      <c r="DW67" s="165">
        <v>9</v>
      </c>
      <c r="DX67" s="165">
        <v>142</v>
      </c>
      <c r="DY67" s="165">
        <v>1019</v>
      </c>
      <c r="DZ67" s="165">
        <v>13</v>
      </c>
      <c r="EA67" s="166">
        <v>52.185000000000002</v>
      </c>
      <c r="EB67" s="166">
        <v>49.185000000000002</v>
      </c>
      <c r="EC67" s="166">
        <v>28.880000000000003</v>
      </c>
      <c r="ED67" s="166">
        <v>17.105</v>
      </c>
      <c r="EE67" s="166">
        <v>0</v>
      </c>
      <c r="EF67" s="166">
        <v>55.134999999999998</v>
      </c>
      <c r="EG67" s="167">
        <v>6.5318489289740711E-2</v>
      </c>
      <c r="EH67" s="165"/>
      <c r="EI67" s="165">
        <v>107</v>
      </c>
      <c r="EJ67" s="165">
        <v>901</v>
      </c>
      <c r="EK67" s="165">
        <v>629</v>
      </c>
      <c r="EL67" s="165">
        <v>188</v>
      </c>
      <c r="EM67" s="165">
        <v>84</v>
      </c>
      <c r="EN67" s="165">
        <v>1008</v>
      </c>
      <c r="EO67" s="165">
        <v>0</v>
      </c>
      <c r="EP67" s="165">
        <v>143</v>
      </c>
      <c r="EQ67" s="165">
        <v>143</v>
      </c>
      <c r="ER67" s="165">
        <v>134</v>
      </c>
      <c r="ES67" s="165">
        <v>9</v>
      </c>
      <c r="ET67" s="165">
        <v>2</v>
      </c>
      <c r="EU67" s="166">
        <v>39.424999999999997</v>
      </c>
      <c r="EV67" s="166">
        <v>1</v>
      </c>
      <c r="EW67" s="166">
        <v>4.4000000000000004</v>
      </c>
      <c r="EX67" s="166">
        <v>0</v>
      </c>
      <c r="EY67" s="166">
        <v>6.8879999999999999</v>
      </c>
      <c r="EZ67" s="166">
        <v>51.712999999999994</v>
      </c>
      <c r="FA67" s="166">
        <v>8</v>
      </c>
      <c r="FB67" s="166">
        <v>97.055555555555557</v>
      </c>
      <c r="FC67" s="166">
        <v>105.05555555555556</v>
      </c>
      <c r="FD67" s="166">
        <v>103.06666666666666</v>
      </c>
      <c r="FE67" s="166">
        <v>106.32777777777778</v>
      </c>
      <c r="FF67" s="166">
        <v>106.04444444444445</v>
      </c>
      <c r="FG67" s="166">
        <v>105.46111111111111</v>
      </c>
      <c r="FH67" s="166">
        <v>106.77777777777777</v>
      </c>
      <c r="FI67" s="166">
        <v>98.87222222222222</v>
      </c>
      <c r="FJ67" s="166">
        <v>94.822222222222223</v>
      </c>
      <c r="FK67" s="166">
        <v>82.077777777777783</v>
      </c>
      <c r="FL67" s="166">
        <v>79.033333333333331</v>
      </c>
      <c r="FM67" s="166">
        <v>0</v>
      </c>
      <c r="FN67" s="166">
        <v>0</v>
      </c>
      <c r="FO67" s="166">
        <v>0</v>
      </c>
      <c r="FP67" s="166">
        <v>626.54999999999995</v>
      </c>
      <c r="FQ67" s="166">
        <v>176.9</v>
      </c>
      <c r="FR67" s="166">
        <v>79.033333333333331</v>
      </c>
      <c r="FS67" s="166">
        <v>908.50555555555559</v>
      </c>
      <c r="FT67" s="166">
        <v>882.48333333333323</v>
      </c>
      <c r="FU67" s="166">
        <v>987.53888888888889</v>
      </c>
      <c r="FV67" s="166">
        <v>130.78888888888889</v>
      </c>
      <c r="FW67" s="166">
        <v>13.455555555555556</v>
      </c>
      <c r="FX67" s="166">
        <v>144.24444444444444</v>
      </c>
      <c r="FY67" s="166">
        <v>1000.9944444444444</v>
      </c>
      <c r="FZ67" s="165">
        <v>19</v>
      </c>
      <c r="GA67" s="165">
        <v>89</v>
      </c>
      <c r="GB67" s="165">
        <v>108</v>
      </c>
      <c r="GC67" s="165">
        <v>102</v>
      </c>
      <c r="GD67" s="165">
        <v>107</v>
      </c>
      <c r="GE67" s="165">
        <v>108</v>
      </c>
      <c r="GF67" s="165">
        <v>107</v>
      </c>
      <c r="GG67" s="165">
        <v>106</v>
      </c>
      <c r="GH67" s="165">
        <v>105</v>
      </c>
      <c r="GI67" s="165">
        <v>100</v>
      </c>
      <c r="GJ67" s="165">
        <v>80</v>
      </c>
      <c r="GK67" s="165">
        <v>79</v>
      </c>
      <c r="GL67" s="165">
        <v>0</v>
      </c>
      <c r="GM67" s="165">
        <v>0</v>
      </c>
      <c r="GN67" s="165">
        <v>0</v>
      </c>
      <c r="GO67" s="165">
        <v>635</v>
      </c>
      <c r="GP67" s="165">
        <v>180</v>
      </c>
      <c r="GQ67" s="165">
        <v>79</v>
      </c>
      <c r="GR67" s="165">
        <v>923</v>
      </c>
      <c r="GS67" s="165">
        <v>894</v>
      </c>
      <c r="GT67" s="165">
        <v>1002</v>
      </c>
      <c r="GU67" s="165">
        <v>0</v>
      </c>
      <c r="GV67" s="165">
        <v>189</v>
      </c>
      <c r="GW67" s="165">
        <v>119</v>
      </c>
      <c r="GX67" s="165">
        <v>9</v>
      </c>
      <c r="GY67" s="165">
        <v>128</v>
      </c>
      <c r="GZ67" s="165">
        <v>1011</v>
      </c>
      <c r="HA67" s="165">
        <v>19</v>
      </c>
      <c r="HB67" s="166">
        <v>52.724999999999994</v>
      </c>
      <c r="HC67" s="166">
        <v>49.724999999999994</v>
      </c>
      <c r="HD67" s="166">
        <v>29.200000000000003</v>
      </c>
      <c r="HE67" s="166">
        <v>17.425000000000001</v>
      </c>
      <c r="HF67" s="166"/>
      <c r="HG67" s="166">
        <v>54.674999999999997</v>
      </c>
      <c r="HH67" s="166">
        <v>0</v>
      </c>
      <c r="HI67" s="166">
        <v>126</v>
      </c>
      <c r="HJ67" s="166">
        <v>126</v>
      </c>
      <c r="HK67" s="166">
        <v>116</v>
      </c>
      <c r="HL67" s="166">
        <v>10</v>
      </c>
      <c r="HM67" s="166">
        <v>2</v>
      </c>
      <c r="HN67" s="166">
        <v>107</v>
      </c>
      <c r="HO67" s="166">
        <v>903</v>
      </c>
      <c r="HP67" s="166">
        <v>635</v>
      </c>
      <c r="HQ67" s="166">
        <v>183</v>
      </c>
      <c r="HR67" s="166">
        <v>85</v>
      </c>
      <c r="HS67" s="166">
        <v>1010</v>
      </c>
      <c r="HT67" s="166">
        <f>FY26_FE_Data_April15[[#This Row],[Oct 1, 2026 (CDC) - K]]+FY26_FE_Data_April15[[#This Row],[Oct 1, 2026 (CDC) - Grades 1-6]]+FY26_FE_Data_April15[[#This Row],[Oct 1, 2026 (CDC) - Grades 7-8]]</f>
        <v>925</v>
      </c>
      <c r="HU67" s="166">
        <v>0</v>
      </c>
      <c r="HW67" s="170"/>
      <c r="HY67" s="170"/>
    </row>
    <row r="68" spans="1:233" ht="26">
      <c r="A68" s="158" t="s">
        <v>416</v>
      </c>
      <c r="B68" s="159" t="s">
        <v>417</v>
      </c>
      <c r="C68" s="160" t="s">
        <v>418</v>
      </c>
      <c r="D68" s="160" t="s">
        <v>139</v>
      </c>
      <c r="E68" s="159" t="s">
        <v>784</v>
      </c>
      <c r="F68" s="159" t="s">
        <v>784</v>
      </c>
      <c r="G68" s="159"/>
      <c r="H68" s="161">
        <v>74.87222222222222</v>
      </c>
      <c r="I68" s="161">
        <v>7.9722222222222223</v>
      </c>
      <c r="J68" s="161">
        <v>82.844444444444449</v>
      </c>
      <c r="K68" s="162">
        <v>98</v>
      </c>
      <c r="L68" s="162">
        <v>493</v>
      </c>
      <c r="M68" s="162">
        <v>0</v>
      </c>
      <c r="N68" s="162">
        <v>0</v>
      </c>
      <c r="O68" s="162">
        <v>591</v>
      </c>
      <c r="P68" s="162">
        <v>493</v>
      </c>
      <c r="Q68" s="162">
        <v>591</v>
      </c>
      <c r="R68" s="162">
        <v>7</v>
      </c>
      <c r="S68" s="160">
        <v>96.027777777777771</v>
      </c>
      <c r="T68" s="160">
        <v>94.88333333333334</v>
      </c>
      <c r="U68" s="160">
        <v>89.038888888888891</v>
      </c>
      <c r="V68" s="160">
        <v>85.655555555555551</v>
      </c>
      <c r="W68" s="160">
        <v>82.638888888888886</v>
      </c>
      <c r="X68" s="160">
        <v>70.838888888888889</v>
      </c>
      <c r="Y68" s="160">
        <v>54.255555555555553</v>
      </c>
      <c r="Z68" s="160">
        <v>0</v>
      </c>
      <c r="AA68" s="160">
        <v>0</v>
      </c>
      <c r="AB68" s="160">
        <v>0</v>
      </c>
      <c r="AC68" s="160">
        <v>0</v>
      </c>
      <c r="AD68" s="160">
        <v>0</v>
      </c>
      <c r="AE68" s="160">
        <v>0</v>
      </c>
      <c r="AF68" s="160">
        <v>477.31111111111113</v>
      </c>
      <c r="AG68" s="160">
        <v>0</v>
      </c>
      <c r="AH68" s="160">
        <v>0</v>
      </c>
      <c r="AI68" s="160">
        <v>573.33888888888885</v>
      </c>
      <c r="AJ68" s="160">
        <v>477.31111111111113</v>
      </c>
      <c r="AK68" s="160">
        <v>573.33888888888885</v>
      </c>
      <c r="AL68" s="161">
        <v>72.55</v>
      </c>
      <c r="AM68" s="161">
        <v>6.05</v>
      </c>
      <c r="AN68" s="161">
        <v>78.599999999999994</v>
      </c>
      <c r="AO68" s="161">
        <v>579.3888888888888</v>
      </c>
      <c r="AP68" s="162">
        <v>103</v>
      </c>
      <c r="AQ68" s="168">
        <v>91</v>
      </c>
      <c r="AR68" s="160">
        <v>87</v>
      </c>
      <c r="AS68" s="160">
        <v>86</v>
      </c>
      <c r="AT68" s="160">
        <v>70</v>
      </c>
      <c r="AU68" s="160">
        <v>67</v>
      </c>
      <c r="AV68" s="160">
        <v>67</v>
      </c>
      <c r="AW68" s="160">
        <v>0</v>
      </c>
      <c r="AX68" s="160">
        <v>0</v>
      </c>
      <c r="AY68" s="160">
        <v>0</v>
      </c>
      <c r="AZ68" s="160">
        <v>0</v>
      </c>
      <c r="BA68" s="160">
        <v>0</v>
      </c>
      <c r="BB68" s="160">
        <v>0</v>
      </c>
      <c r="BC68" s="160">
        <v>468</v>
      </c>
      <c r="BD68" s="160">
        <v>0</v>
      </c>
      <c r="BE68" s="160">
        <v>0</v>
      </c>
      <c r="BF68" s="160">
        <v>571</v>
      </c>
      <c r="BG68" s="160">
        <v>468</v>
      </c>
      <c r="BH68" s="160">
        <v>571</v>
      </c>
      <c r="BI68" s="160">
        <v>80</v>
      </c>
      <c r="BJ68" s="160">
        <v>23</v>
      </c>
      <c r="BK68" s="160">
        <v>0</v>
      </c>
      <c r="BL68" s="160">
        <v>103</v>
      </c>
      <c r="BM68" s="160">
        <v>79</v>
      </c>
      <c r="BN68" s="162">
        <v>2</v>
      </c>
      <c r="BO68" s="162">
        <v>81</v>
      </c>
      <c r="BP68" s="162">
        <v>0</v>
      </c>
      <c r="BQ68" s="163">
        <v>5.8703071672355056E-2</v>
      </c>
      <c r="BR68" s="164">
        <v>30.577000000000002</v>
      </c>
      <c r="BS68" s="164">
        <v>27.852</v>
      </c>
      <c r="BT68" s="164">
        <v>27.852</v>
      </c>
      <c r="BU68" s="164">
        <v>30.577000000000002</v>
      </c>
      <c r="BV68" s="165">
        <v>0</v>
      </c>
      <c r="BW68" s="165">
        <v>0</v>
      </c>
      <c r="BX68" s="166">
        <v>0</v>
      </c>
      <c r="BY68" s="166">
        <v>23.055554999999998</v>
      </c>
      <c r="BZ68" s="166">
        <v>76.327776999999998</v>
      </c>
      <c r="CA68" s="166">
        <v>99.38333333333334</v>
      </c>
      <c r="CB68" s="166">
        <v>91.24444444444444</v>
      </c>
      <c r="CC68" s="166">
        <v>83.87222222222222</v>
      </c>
      <c r="CD68" s="166">
        <v>83.288888888888891</v>
      </c>
      <c r="CE68" s="166">
        <v>65.422222222222217</v>
      </c>
      <c r="CF68" s="166">
        <v>63.266666666666666</v>
      </c>
      <c r="CG68" s="166">
        <v>65.488888888888894</v>
      </c>
      <c r="CH68" s="166">
        <v>0</v>
      </c>
      <c r="CI68" s="166">
        <v>0</v>
      </c>
      <c r="CJ68" s="166">
        <v>0</v>
      </c>
      <c r="CK68" s="166">
        <v>0</v>
      </c>
      <c r="CL68" s="166">
        <v>0</v>
      </c>
      <c r="CM68" s="166">
        <v>0</v>
      </c>
      <c r="CN68" s="166">
        <v>452.58333333333331</v>
      </c>
      <c r="CO68" s="166">
        <v>0</v>
      </c>
      <c r="CP68" s="166">
        <v>0</v>
      </c>
      <c r="CQ68" s="166">
        <v>551.9666666666667</v>
      </c>
      <c r="CR68" s="166">
        <v>452.58333333333331</v>
      </c>
      <c r="CS68" s="166">
        <v>551.9666666666667</v>
      </c>
      <c r="CT68" s="166">
        <v>76.466666666666697</v>
      </c>
      <c r="CU68" s="166">
        <v>3</v>
      </c>
      <c r="CV68" s="166">
        <v>79.466666666666697</v>
      </c>
      <c r="CW68" s="166">
        <v>554.9666666666667</v>
      </c>
      <c r="CX68" s="166">
        <v>0</v>
      </c>
      <c r="CY68" s="166">
        <v>61</v>
      </c>
      <c r="CZ68" s="165">
        <v>11</v>
      </c>
      <c r="DA68" s="165">
        <v>72</v>
      </c>
      <c r="DB68" s="165">
        <v>88</v>
      </c>
      <c r="DC68" s="165">
        <v>83</v>
      </c>
      <c r="DD68" s="165">
        <v>75</v>
      </c>
      <c r="DE68" s="165">
        <v>76</v>
      </c>
      <c r="DF68" s="165">
        <v>55</v>
      </c>
      <c r="DG68" s="165">
        <v>56</v>
      </c>
      <c r="DH68" s="165">
        <v>0</v>
      </c>
      <c r="DI68" s="165">
        <v>0</v>
      </c>
      <c r="DJ68" s="165">
        <v>0</v>
      </c>
      <c r="DK68" s="165">
        <v>0</v>
      </c>
      <c r="DL68" s="165">
        <v>0</v>
      </c>
      <c r="DM68" s="165">
        <v>0</v>
      </c>
      <c r="DN68" s="165">
        <v>433</v>
      </c>
      <c r="DO68" s="165">
        <v>0</v>
      </c>
      <c r="DP68" s="165">
        <v>0</v>
      </c>
      <c r="DQ68" s="165">
        <v>505</v>
      </c>
      <c r="DR68" s="165">
        <v>433</v>
      </c>
      <c r="DS68" s="165">
        <v>505</v>
      </c>
      <c r="DT68" s="165">
        <v>0</v>
      </c>
      <c r="DU68" s="165">
        <v>68</v>
      </c>
      <c r="DV68" s="165">
        <v>70</v>
      </c>
      <c r="DW68" s="165">
        <v>1</v>
      </c>
      <c r="DX68" s="165">
        <v>71</v>
      </c>
      <c r="DY68" s="165">
        <v>506</v>
      </c>
      <c r="DZ68" s="165">
        <v>0</v>
      </c>
      <c r="EA68" s="166">
        <v>28.895</v>
      </c>
      <c r="EB68" s="166">
        <v>26.164999999999999</v>
      </c>
      <c r="EC68" s="166">
        <v>26.164999999999999</v>
      </c>
      <c r="ED68" s="166">
        <v>0</v>
      </c>
      <c r="EE68" s="166">
        <v>0</v>
      </c>
      <c r="EF68" s="166">
        <v>28.894999999999996</v>
      </c>
      <c r="EG68" s="167">
        <v>6.1237864077669957E-2</v>
      </c>
      <c r="EH68" s="165"/>
      <c r="EI68" s="165">
        <v>90</v>
      </c>
      <c r="EJ68" s="165">
        <v>450</v>
      </c>
      <c r="EK68" s="165">
        <v>450</v>
      </c>
      <c r="EL68" s="165">
        <v>0</v>
      </c>
      <c r="EM68" s="165">
        <v>0</v>
      </c>
      <c r="EN68" s="165">
        <v>540</v>
      </c>
      <c r="EO68" s="165">
        <v>0</v>
      </c>
      <c r="EP68" s="165">
        <v>74</v>
      </c>
      <c r="EQ68" s="165">
        <v>74</v>
      </c>
      <c r="ER68" s="165">
        <v>73</v>
      </c>
      <c r="ES68" s="165">
        <v>1</v>
      </c>
      <c r="ET68" s="165">
        <v>0</v>
      </c>
      <c r="EU68" s="166">
        <v>14.363</v>
      </c>
      <c r="EV68" s="166">
        <v>0.8</v>
      </c>
      <c r="EW68" s="166">
        <v>2</v>
      </c>
      <c r="EX68" s="166">
        <v>7.4999999999999997E-2</v>
      </c>
      <c r="EY68" s="166">
        <v>2.2749999999999999</v>
      </c>
      <c r="EZ68" s="166">
        <v>19.512999999999998</v>
      </c>
      <c r="FA68" s="166">
        <v>10.616666666666667</v>
      </c>
      <c r="FB68" s="166">
        <v>60.405555555555559</v>
      </c>
      <c r="FC68" s="166">
        <v>71.022222222222226</v>
      </c>
      <c r="FD68" s="166">
        <v>85.266666666666666</v>
      </c>
      <c r="FE68" s="166">
        <v>82.455555555555549</v>
      </c>
      <c r="FF68" s="166">
        <v>73.394444444444446</v>
      </c>
      <c r="FG68" s="166">
        <v>73.74444444444444</v>
      </c>
      <c r="FH68" s="166">
        <v>55.094444444444441</v>
      </c>
      <c r="FI68" s="166">
        <v>55.038888888888891</v>
      </c>
      <c r="FJ68" s="166">
        <v>0</v>
      </c>
      <c r="FK68" s="166">
        <v>0</v>
      </c>
      <c r="FL68" s="166">
        <v>0</v>
      </c>
      <c r="FM68" s="166">
        <v>0</v>
      </c>
      <c r="FN68" s="166">
        <v>0</v>
      </c>
      <c r="FO68" s="166">
        <v>0</v>
      </c>
      <c r="FP68" s="166">
        <v>424.99444444444441</v>
      </c>
      <c r="FQ68" s="166">
        <v>0</v>
      </c>
      <c r="FR68" s="166">
        <v>0</v>
      </c>
      <c r="FS68" s="166">
        <v>496.01666666666665</v>
      </c>
      <c r="FT68" s="166">
        <v>424.99444444444441</v>
      </c>
      <c r="FU68" s="166">
        <v>496.01666666666665</v>
      </c>
      <c r="FV68" s="166">
        <v>72.2</v>
      </c>
      <c r="FW68" s="166">
        <v>1</v>
      </c>
      <c r="FX68" s="166">
        <v>73.2</v>
      </c>
      <c r="FY68" s="166">
        <v>497.01666666666665</v>
      </c>
      <c r="FZ68" s="165">
        <v>6</v>
      </c>
      <c r="GA68" s="165">
        <v>66</v>
      </c>
      <c r="GB68" s="165">
        <v>72</v>
      </c>
      <c r="GC68" s="165">
        <v>69</v>
      </c>
      <c r="GD68" s="165">
        <v>69</v>
      </c>
      <c r="GE68" s="165">
        <v>77</v>
      </c>
      <c r="GF68" s="165">
        <v>74</v>
      </c>
      <c r="GG68" s="165">
        <v>63</v>
      </c>
      <c r="GH68" s="165">
        <v>56</v>
      </c>
      <c r="GI68" s="165">
        <v>0</v>
      </c>
      <c r="GJ68" s="165">
        <v>0</v>
      </c>
      <c r="GK68" s="165">
        <v>0</v>
      </c>
      <c r="GL68" s="165">
        <v>0</v>
      </c>
      <c r="GM68" s="165">
        <v>0</v>
      </c>
      <c r="GN68" s="165">
        <v>0</v>
      </c>
      <c r="GO68" s="165">
        <v>408</v>
      </c>
      <c r="GP68" s="165">
        <v>0</v>
      </c>
      <c r="GQ68" s="165">
        <v>0</v>
      </c>
      <c r="GR68" s="165">
        <v>480</v>
      </c>
      <c r="GS68" s="165">
        <v>408</v>
      </c>
      <c r="GT68" s="165">
        <v>480</v>
      </c>
      <c r="GU68" s="165">
        <v>0</v>
      </c>
      <c r="GV68" s="165">
        <v>65</v>
      </c>
      <c r="GW68" s="165">
        <v>58</v>
      </c>
      <c r="GX68" s="165">
        <v>2</v>
      </c>
      <c r="GY68" s="165">
        <v>60</v>
      </c>
      <c r="GZ68" s="165">
        <v>482</v>
      </c>
      <c r="HA68" s="165">
        <v>0</v>
      </c>
      <c r="HB68" s="166">
        <v>28.167999999999999</v>
      </c>
      <c r="HC68" s="166">
        <v>25.2</v>
      </c>
      <c r="HD68" s="166">
        <v>25.2</v>
      </c>
      <c r="HE68" s="166">
        <v>0</v>
      </c>
      <c r="HF68" s="166"/>
      <c r="HG68" s="166">
        <v>28.167999999999999</v>
      </c>
      <c r="HH68" s="166">
        <v>0</v>
      </c>
      <c r="HI68" s="166">
        <v>57</v>
      </c>
      <c r="HJ68" s="166">
        <v>57</v>
      </c>
      <c r="HK68" s="166">
        <v>56</v>
      </c>
      <c r="HL68" s="166">
        <v>1</v>
      </c>
      <c r="HM68" s="166">
        <v>0</v>
      </c>
      <c r="HN68" s="166">
        <v>72</v>
      </c>
      <c r="HO68" s="166">
        <v>430</v>
      </c>
      <c r="HP68" s="166">
        <v>430</v>
      </c>
      <c r="HQ68" s="166">
        <v>0</v>
      </c>
      <c r="HR68" s="166">
        <v>0</v>
      </c>
      <c r="HS68" s="166">
        <v>502</v>
      </c>
      <c r="HT68" s="166">
        <f>FY26_FE_Data_April15[[#This Row],[Oct 1, 2026 (CDC) - K]]+FY26_FE_Data_April15[[#This Row],[Oct 1, 2026 (CDC) - Grades 1-6]]+FY26_FE_Data_April15[[#This Row],[Oct 1, 2026 (CDC) - Grades 7-8]]</f>
        <v>502</v>
      </c>
      <c r="HU68" s="166">
        <v>0</v>
      </c>
      <c r="HW68" s="170"/>
      <c r="HY68" s="170"/>
    </row>
    <row r="69" spans="1:233" ht="52">
      <c r="A69" s="158" t="s">
        <v>419</v>
      </c>
      <c r="B69" s="159" t="s">
        <v>420</v>
      </c>
      <c r="C69" s="160" t="s">
        <v>421</v>
      </c>
      <c r="D69" s="160" t="s">
        <v>139</v>
      </c>
      <c r="E69" s="159" t="s">
        <v>784</v>
      </c>
      <c r="F69" s="159" t="s">
        <v>784</v>
      </c>
      <c r="G69" s="159"/>
      <c r="H69" s="161">
        <v>8.7888888888888896</v>
      </c>
      <c r="I69" s="161">
        <v>1.4</v>
      </c>
      <c r="J69" s="161">
        <v>10.18888888888889</v>
      </c>
      <c r="K69" s="162">
        <v>0</v>
      </c>
      <c r="L69" s="162">
        <v>12</v>
      </c>
      <c r="M69" s="162">
        <v>46</v>
      </c>
      <c r="N69" s="162">
        <v>178</v>
      </c>
      <c r="O69" s="162">
        <v>236</v>
      </c>
      <c r="P69" s="162">
        <v>236</v>
      </c>
      <c r="Q69" s="162">
        <v>58</v>
      </c>
      <c r="R69" s="162">
        <v>1</v>
      </c>
      <c r="S69" s="160">
        <v>0</v>
      </c>
      <c r="T69" s="160">
        <v>0</v>
      </c>
      <c r="U69" s="160">
        <v>0</v>
      </c>
      <c r="V69" s="160">
        <v>0</v>
      </c>
      <c r="W69" s="160">
        <v>0</v>
      </c>
      <c r="X69" s="160">
        <v>0</v>
      </c>
      <c r="Y69" s="160">
        <v>13.744444444444444</v>
      </c>
      <c r="Z69" s="160">
        <v>26.677777777777777</v>
      </c>
      <c r="AA69" s="160">
        <v>30.661111111111111</v>
      </c>
      <c r="AB69" s="160">
        <v>50.405555555555559</v>
      </c>
      <c r="AC69" s="160">
        <v>43.411111111111111</v>
      </c>
      <c r="AD69" s="160">
        <v>32.56666666666667</v>
      </c>
      <c r="AE69" s="160">
        <v>54.755555555555553</v>
      </c>
      <c r="AF69" s="160">
        <v>13.744444444444444</v>
      </c>
      <c r="AG69" s="160">
        <v>57.338888888888889</v>
      </c>
      <c r="AH69" s="160">
        <v>181.13888888888889</v>
      </c>
      <c r="AI69" s="160">
        <v>71.083333333333329</v>
      </c>
      <c r="AJ69" s="160">
        <v>252.2222222222222</v>
      </c>
      <c r="AK69" s="160">
        <v>252.2222222222222</v>
      </c>
      <c r="AL69" s="161">
        <v>8.4222222222222225</v>
      </c>
      <c r="AM69" s="161">
        <v>1</v>
      </c>
      <c r="AN69" s="161">
        <v>9.4222222222222225</v>
      </c>
      <c r="AO69" s="161">
        <v>253.2222222222222</v>
      </c>
      <c r="AP69" s="162">
        <v>0</v>
      </c>
      <c r="AQ69" s="168">
        <v>0</v>
      </c>
      <c r="AR69" s="160">
        <v>0</v>
      </c>
      <c r="AS69" s="160">
        <v>0</v>
      </c>
      <c r="AT69" s="160">
        <v>0</v>
      </c>
      <c r="AU69" s="160">
        <v>0</v>
      </c>
      <c r="AV69" s="160">
        <v>17</v>
      </c>
      <c r="AW69" s="160">
        <v>19</v>
      </c>
      <c r="AX69" s="160">
        <v>29</v>
      </c>
      <c r="AY69" s="160">
        <v>41</v>
      </c>
      <c r="AZ69" s="160">
        <v>46</v>
      </c>
      <c r="BA69" s="160">
        <v>41</v>
      </c>
      <c r="BB69" s="160">
        <v>31</v>
      </c>
      <c r="BC69" s="160">
        <v>17</v>
      </c>
      <c r="BD69" s="160">
        <v>48</v>
      </c>
      <c r="BE69" s="160">
        <v>159</v>
      </c>
      <c r="BF69" s="160">
        <v>65</v>
      </c>
      <c r="BG69" s="160">
        <v>224</v>
      </c>
      <c r="BH69" s="160">
        <v>224</v>
      </c>
      <c r="BI69" s="160">
        <v>0</v>
      </c>
      <c r="BJ69" s="160">
        <v>0</v>
      </c>
      <c r="BK69" s="160">
        <v>0</v>
      </c>
      <c r="BL69" s="160">
        <v>215</v>
      </c>
      <c r="BM69" s="160">
        <v>7</v>
      </c>
      <c r="BN69" s="162">
        <v>1</v>
      </c>
      <c r="BO69" s="162">
        <v>8</v>
      </c>
      <c r="BP69" s="162">
        <v>209</v>
      </c>
      <c r="BQ69" s="163">
        <v>8.5713208685162856E-2</v>
      </c>
      <c r="BR69" s="164">
        <v>16</v>
      </c>
      <c r="BS69" s="164">
        <v>16</v>
      </c>
      <c r="BT69" s="164">
        <v>16</v>
      </c>
      <c r="BU69" s="164">
        <v>19</v>
      </c>
      <c r="BV69" s="165">
        <v>0</v>
      </c>
      <c r="BW69" s="165">
        <v>0</v>
      </c>
      <c r="BX69" s="166">
        <v>0</v>
      </c>
      <c r="BY69" s="166">
        <v>0</v>
      </c>
      <c r="BZ69" s="166">
        <v>0</v>
      </c>
      <c r="CA69" s="166">
        <v>0</v>
      </c>
      <c r="CB69" s="166">
        <v>0</v>
      </c>
      <c r="CC69" s="166">
        <v>0</v>
      </c>
      <c r="CD69" s="166">
        <v>0</v>
      </c>
      <c r="CE69" s="166">
        <v>0</v>
      </c>
      <c r="CF69" s="166">
        <v>0</v>
      </c>
      <c r="CG69" s="166">
        <v>17.488888888888887</v>
      </c>
      <c r="CH69" s="166">
        <v>21.816666666666666</v>
      </c>
      <c r="CI69" s="166">
        <v>28.305555555555557</v>
      </c>
      <c r="CJ69" s="166">
        <v>50.31111111111111</v>
      </c>
      <c r="CK69" s="166">
        <v>45.644444444444446</v>
      </c>
      <c r="CL69" s="166">
        <v>45.855555555555554</v>
      </c>
      <c r="CM69" s="166">
        <v>29.544444444444444</v>
      </c>
      <c r="CN69" s="166">
        <v>17.488888888888887</v>
      </c>
      <c r="CO69" s="166">
        <v>50.12222222222222</v>
      </c>
      <c r="CP69" s="166">
        <v>171.35555555555555</v>
      </c>
      <c r="CQ69" s="166">
        <v>67.611111111111114</v>
      </c>
      <c r="CR69" s="166">
        <v>238.96666666666667</v>
      </c>
      <c r="CS69" s="166">
        <v>238.96666666666667</v>
      </c>
      <c r="CT69" s="166">
        <v>8.7611111111111093</v>
      </c>
      <c r="CU69" s="166">
        <v>0</v>
      </c>
      <c r="CV69" s="166">
        <v>8.7611111111111093</v>
      </c>
      <c r="CW69" s="166">
        <v>238.96666666666667</v>
      </c>
      <c r="CX69" s="166">
        <v>0</v>
      </c>
      <c r="CY69" s="166">
        <v>0</v>
      </c>
      <c r="CZ69" s="165">
        <v>0</v>
      </c>
      <c r="DA69" s="165">
        <v>0</v>
      </c>
      <c r="DB69" s="165">
        <v>0</v>
      </c>
      <c r="DC69" s="165">
        <v>0</v>
      </c>
      <c r="DD69" s="165">
        <v>0</v>
      </c>
      <c r="DE69" s="165">
        <v>0</v>
      </c>
      <c r="DF69" s="165">
        <v>0</v>
      </c>
      <c r="DG69" s="165">
        <v>12</v>
      </c>
      <c r="DH69" s="165">
        <v>18</v>
      </c>
      <c r="DI69" s="165">
        <v>27</v>
      </c>
      <c r="DJ69" s="165">
        <v>32</v>
      </c>
      <c r="DK69" s="165">
        <v>59</v>
      </c>
      <c r="DL69" s="165">
        <v>47</v>
      </c>
      <c r="DM69" s="165">
        <v>50</v>
      </c>
      <c r="DN69" s="165">
        <v>12</v>
      </c>
      <c r="DO69" s="165">
        <v>45</v>
      </c>
      <c r="DP69" s="165">
        <v>188</v>
      </c>
      <c r="DQ69" s="165">
        <v>57</v>
      </c>
      <c r="DR69" s="165">
        <v>245</v>
      </c>
      <c r="DS69" s="165">
        <v>245</v>
      </c>
      <c r="DT69" s="165">
        <v>0</v>
      </c>
      <c r="DU69" s="165">
        <v>238</v>
      </c>
      <c r="DV69" s="165">
        <v>15</v>
      </c>
      <c r="DW69" s="165">
        <v>0</v>
      </c>
      <c r="DX69" s="165">
        <v>15</v>
      </c>
      <c r="DY69" s="165">
        <v>245</v>
      </c>
      <c r="DZ69" s="165">
        <v>222</v>
      </c>
      <c r="EA69" s="166">
        <v>16.387</v>
      </c>
      <c r="EB69" s="166">
        <v>15.736999999999998</v>
      </c>
      <c r="EC69" s="166">
        <v>1.2760000000000002</v>
      </c>
      <c r="ED69" s="166">
        <v>13.411</v>
      </c>
      <c r="EE69" s="166">
        <v>0</v>
      </c>
      <c r="EF69" s="166">
        <v>16.987000000000002</v>
      </c>
      <c r="EG69" s="167">
        <v>9.1619601900957304E-2</v>
      </c>
      <c r="EH69" s="165"/>
      <c r="EI69" s="165">
        <v>0</v>
      </c>
      <c r="EJ69" s="165">
        <v>243</v>
      </c>
      <c r="EK69" s="165">
        <v>14</v>
      </c>
      <c r="EL69" s="165">
        <v>47</v>
      </c>
      <c r="EM69" s="165">
        <v>182</v>
      </c>
      <c r="EN69" s="165">
        <v>243</v>
      </c>
      <c r="EO69" s="165">
        <v>0</v>
      </c>
      <c r="EP69" s="165">
        <v>14</v>
      </c>
      <c r="EQ69" s="165">
        <v>14</v>
      </c>
      <c r="ER69" s="165">
        <v>14</v>
      </c>
      <c r="ES69" s="165">
        <v>0</v>
      </c>
      <c r="ET69" s="165">
        <v>0</v>
      </c>
      <c r="EU69" s="166">
        <v>4.1639999999999997</v>
      </c>
      <c r="EV69" s="166">
        <v>0</v>
      </c>
      <c r="EW69" s="166">
        <v>0.125</v>
      </c>
      <c r="EX69" s="166">
        <v>0</v>
      </c>
      <c r="EY69" s="166">
        <v>0.8</v>
      </c>
      <c r="EZ69" s="166">
        <v>5.0889999999999995</v>
      </c>
      <c r="FA69" s="166">
        <v>0</v>
      </c>
      <c r="FB69" s="166">
        <v>0</v>
      </c>
      <c r="FC69" s="166">
        <v>0</v>
      </c>
      <c r="FD69" s="166">
        <v>0</v>
      </c>
      <c r="FE69" s="166">
        <v>0</v>
      </c>
      <c r="FF69" s="166">
        <v>0</v>
      </c>
      <c r="FG69" s="166">
        <v>0</v>
      </c>
      <c r="FH69" s="166">
        <v>0</v>
      </c>
      <c r="FI69" s="166">
        <v>12.455555555555556</v>
      </c>
      <c r="FJ69" s="166">
        <v>21.088888888888889</v>
      </c>
      <c r="FK69" s="166">
        <v>27.194444444444443</v>
      </c>
      <c r="FL69" s="166">
        <v>36.227777777777774</v>
      </c>
      <c r="FM69" s="166">
        <v>61.8</v>
      </c>
      <c r="FN69" s="166">
        <v>46.733333333333334</v>
      </c>
      <c r="FO69" s="166">
        <v>49.461111111111109</v>
      </c>
      <c r="FP69" s="166">
        <v>12.455555555555556</v>
      </c>
      <c r="FQ69" s="166">
        <v>48.283333333333331</v>
      </c>
      <c r="FR69" s="166">
        <v>194.22222222222223</v>
      </c>
      <c r="FS69" s="166">
        <v>60.738888888888887</v>
      </c>
      <c r="FT69" s="166">
        <v>254.96111111111111</v>
      </c>
      <c r="FU69" s="166">
        <v>254.96111111111111</v>
      </c>
      <c r="FV69" s="166">
        <v>13.077777777777778</v>
      </c>
      <c r="FW69" s="166">
        <v>0</v>
      </c>
      <c r="FX69" s="166">
        <v>13.077777777777778</v>
      </c>
      <c r="FY69" s="166">
        <v>254.96111111111111</v>
      </c>
      <c r="FZ69" s="165">
        <v>0</v>
      </c>
      <c r="GA69" s="165">
        <v>0</v>
      </c>
      <c r="GB69" s="165">
        <v>0</v>
      </c>
      <c r="GC69" s="165">
        <v>0</v>
      </c>
      <c r="GD69" s="165">
        <v>0</v>
      </c>
      <c r="GE69" s="165">
        <v>0</v>
      </c>
      <c r="GF69" s="165">
        <v>0</v>
      </c>
      <c r="GG69" s="165">
        <v>0</v>
      </c>
      <c r="GH69" s="165">
        <v>8</v>
      </c>
      <c r="GI69" s="165">
        <v>13</v>
      </c>
      <c r="GJ69" s="165">
        <v>19</v>
      </c>
      <c r="GK69" s="165">
        <v>22</v>
      </c>
      <c r="GL69" s="165">
        <v>30</v>
      </c>
      <c r="GM69" s="165">
        <v>47</v>
      </c>
      <c r="GN69" s="165">
        <v>51</v>
      </c>
      <c r="GO69" s="165">
        <v>8</v>
      </c>
      <c r="GP69" s="165">
        <v>32</v>
      </c>
      <c r="GQ69" s="165">
        <v>150</v>
      </c>
      <c r="GR69" s="165">
        <v>40</v>
      </c>
      <c r="GS69" s="165">
        <v>190</v>
      </c>
      <c r="GT69" s="165">
        <v>190</v>
      </c>
      <c r="GU69" s="165">
        <v>0</v>
      </c>
      <c r="GV69" s="165">
        <v>182</v>
      </c>
      <c r="GW69" s="165">
        <v>11</v>
      </c>
      <c r="GX69" s="165">
        <v>0</v>
      </c>
      <c r="GY69" s="165">
        <v>11</v>
      </c>
      <c r="GZ69" s="165">
        <v>190</v>
      </c>
      <c r="HA69" s="165">
        <v>168</v>
      </c>
      <c r="HB69" s="166">
        <v>19.77</v>
      </c>
      <c r="HC69" s="166">
        <v>18.769999999999996</v>
      </c>
      <c r="HD69" s="166">
        <v>1.153</v>
      </c>
      <c r="HE69" s="166">
        <v>16.616999999999997</v>
      </c>
      <c r="HF69" s="166"/>
      <c r="HG69" s="166">
        <v>21</v>
      </c>
      <c r="HH69" s="166">
        <v>0</v>
      </c>
      <c r="HI69" s="166">
        <v>11</v>
      </c>
      <c r="HJ69" s="166">
        <v>11</v>
      </c>
      <c r="HK69" s="166">
        <v>11</v>
      </c>
      <c r="HL69" s="166">
        <v>0</v>
      </c>
      <c r="HM69" s="166">
        <v>0</v>
      </c>
      <c r="HN69" s="166">
        <v>0</v>
      </c>
      <c r="HO69" s="166">
        <v>233</v>
      </c>
      <c r="HP69" s="166">
        <v>33</v>
      </c>
      <c r="HQ69" s="166">
        <v>66</v>
      </c>
      <c r="HR69" s="166">
        <v>134</v>
      </c>
      <c r="HS69" s="166">
        <v>233</v>
      </c>
      <c r="HT69" s="166">
        <f>FY26_FE_Data_April15[[#This Row],[Oct 1, 2026 (CDC) - K]]+FY26_FE_Data_April15[[#This Row],[Oct 1, 2026 (CDC) - Grades 1-6]]+FY26_FE_Data_April15[[#This Row],[Oct 1, 2026 (CDC) - Grades 7-8]]</f>
        <v>99</v>
      </c>
      <c r="HU69" s="166">
        <v>0</v>
      </c>
      <c r="HW69" s="170"/>
      <c r="HY69" s="170"/>
    </row>
    <row r="70" spans="1:233" ht="26">
      <c r="A70" s="158" t="s">
        <v>422</v>
      </c>
      <c r="B70" s="159" t="s">
        <v>423</v>
      </c>
      <c r="C70" s="160" t="s">
        <v>424</v>
      </c>
      <c r="D70" s="160" t="s">
        <v>139</v>
      </c>
      <c r="E70" s="159" t="s">
        <v>784</v>
      </c>
      <c r="F70" s="159" t="s">
        <v>784</v>
      </c>
      <c r="G70" s="159"/>
      <c r="H70" s="161">
        <v>22.427777777777777</v>
      </c>
      <c r="I70" s="161">
        <v>0</v>
      </c>
      <c r="J70" s="161">
        <v>22.427777777777777</v>
      </c>
      <c r="K70" s="162">
        <v>0</v>
      </c>
      <c r="L70" s="162">
        <v>0</v>
      </c>
      <c r="M70" s="162">
        <v>223</v>
      </c>
      <c r="N70" s="162">
        <v>315</v>
      </c>
      <c r="O70" s="162">
        <v>538</v>
      </c>
      <c r="P70" s="162">
        <v>538</v>
      </c>
      <c r="Q70" s="162">
        <v>223</v>
      </c>
      <c r="R70" s="162">
        <v>1</v>
      </c>
      <c r="S70" s="160">
        <v>0</v>
      </c>
      <c r="T70" s="160">
        <v>0</v>
      </c>
      <c r="U70" s="160">
        <v>0</v>
      </c>
      <c r="V70" s="160">
        <v>0</v>
      </c>
      <c r="W70" s="160">
        <v>0</v>
      </c>
      <c r="X70" s="160">
        <v>0</v>
      </c>
      <c r="Y70" s="160">
        <v>0</v>
      </c>
      <c r="Z70" s="160">
        <v>114</v>
      </c>
      <c r="AA70" s="160">
        <v>108</v>
      </c>
      <c r="AB70" s="160">
        <v>93.777777777777771</v>
      </c>
      <c r="AC70" s="160">
        <v>81.338888888888889</v>
      </c>
      <c r="AD70" s="160">
        <v>75.183333333333337</v>
      </c>
      <c r="AE70" s="160">
        <v>62</v>
      </c>
      <c r="AF70" s="160">
        <v>0</v>
      </c>
      <c r="AG70" s="160">
        <v>222</v>
      </c>
      <c r="AH70" s="160">
        <v>312.3</v>
      </c>
      <c r="AI70" s="160">
        <v>222</v>
      </c>
      <c r="AJ70" s="160">
        <v>534.29999999999995</v>
      </c>
      <c r="AK70" s="160">
        <v>534.29999999999995</v>
      </c>
      <c r="AL70" s="161">
        <v>22.944444444444443</v>
      </c>
      <c r="AM70" s="161">
        <v>1</v>
      </c>
      <c r="AN70" s="161">
        <v>23.944444444444443</v>
      </c>
      <c r="AO70" s="161">
        <v>535.29999999999995</v>
      </c>
      <c r="AP70" s="162">
        <v>0</v>
      </c>
      <c r="AQ70" s="168">
        <v>0</v>
      </c>
      <c r="AR70" s="160">
        <v>0</v>
      </c>
      <c r="AS70" s="160">
        <v>0</v>
      </c>
      <c r="AT70" s="160">
        <v>0</v>
      </c>
      <c r="AU70" s="160">
        <v>0</v>
      </c>
      <c r="AV70" s="160">
        <v>0</v>
      </c>
      <c r="AW70" s="160">
        <v>108</v>
      </c>
      <c r="AX70" s="160">
        <v>115</v>
      </c>
      <c r="AY70" s="160">
        <v>108</v>
      </c>
      <c r="AZ70" s="160">
        <v>92</v>
      </c>
      <c r="BA70" s="160">
        <v>81</v>
      </c>
      <c r="BB70" s="160">
        <v>64</v>
      </c>
      <c r="BC70" s="160">
        <v>0</v>
      </c>
      <c r="BD70" s="160">
        <v>223</v>
      </c>
      <c r="BE70" s="160">
        <v>345</v>
      </c>
      <c r="BF70" s="160">
        <v>223</v>
      </c>
      <c r="BG70" s="160">
        <v>568</v>
      </c>
      <c r="BH70" s="160">
        <v>568</v>
      </c>
      <c r="BI70" s="160">
        <v>0</v>
      </c>
      <c r="BJ70" s="160">
        <v>0</v>
      </c>
      <c r="BK70" s="160">
        <v>0</v>
      </c>
      <c r="BL70" s="160">
        <v>295</v>
      </c>
      <c r="BM70" s="160">
        <v>22</v>
      </c>
      <c r="BN70" s="162">
        <v>2</v>
      </c>
      <c r="BO70" s="162">
        <v>24</v>
      </c>
      <c r="BP70" s="162">
        <v>0</v>
      </c>
      <c r="BQ70" s="163">
        <v>7.0969259723965006E-2</v>
      </c>
      <c r="BR70" s="164">
        <v>33.862000000000002</v>
      </c>
      <c r="BS70" s="164">
        <v>33.862000000000002</v>
      </c>
      <c r="BT70" s="164">
        <v>33.862000000000002</v>
      </c>
      <c r="BU70" s="164">
        <v>34.861999999999988</v>
      </c>
      <c r="BV70" s="165">
        <v>0</v>
      </c>
      <c r="BW70" s="165">
        <v>0</v>
      </c>
      <c r="BX70" s="166">
        <v>0</v>
      </c>
      <c r="BY70" s="166">
        <v>0</v>
      </c>
      <c r="BZ70" s="166">
        <v>0</v>
      </c>
      <c r="CA70" s="166">
        <v>0</v>
      </c>
      <c r="CB70" s="166">
        <v>0</v>
      </c>
      <c r="CC70" s="166">
        <v>0</v>
      </c>
      <c r="CD70" s="166">
        <v>0</v>
      </c>
      <c r="CE70" s="166">
        <v>0</v>
      </c>
      <c r="CF70" s="166">
        <v>0</v>
      </c>
      <c r="CG70" s="166">
        <v>0</v>
      </c>
      <c r="CH70" s="166">
        <v>107.89444444444445</v>
      </c>
      <c r="CI70" s="166">
        <v>112.47222222222223</v>
      </c>
      <c r="CJ70" s="166">
        <v>107.70555555555555</v>
      </c>
      <c r="CK70" s="166">
        <v>90.811111111111117</v>
      </c>
      <c r="CL70" s="166">
        <v>80.966666666666669</v>
      </c>
      <c r="CM70" s="166">
        <v>64</v>
      </c>
      <c r="CN70" s="166">
        <v>0</v>
      </c>
      <c r="CO70" s="166">
        <v>220.36666666666667</v>
      </c>
      <c r="CP70" s="166">
        <v>343.48333333333335</v>
      </c>
      <c r="CQ70" s="166">
        <v>220.36666666666667</v>
      </c>
      <c r="CR70" s="166">
        <v>563.85</v>
      </c>
      <c r="CS70" s="166">
        <v>563.85</v>
      </c>
      <c r="CT70" s="166">
        <v>18.755555555555599</v>
      </c>
      <c r="CU70" s="166">
        <v>2</v>
      </c>
      <c r="CV70" s="166">
        <v>20.755555555555599</v>
      </c>
      <c r="CW70" s="166">
        <v>565.85</v>
      </c>
      <c r="CX70" s="166">
        <v>0</v>
      </c>
      <c r="CY70" s="166">
        <v>0</v>
      </c>
      <c r="CZ70" s="165">
        <v>0</v>
      </c>
      <c r="DA70" s="165">
        <v>0</v>
      </c>
      <c r="DB70" s="165">
        <v>0</v>
      </c>
      <c r="DC70" s="165">
        <v>0</v>
      </c>
      <c r="DD70" s="165">
        <v>0</v>
      </c>
      <c r="DE70" s="165">
        <v>0</v>
      </c>
      <c r="DF70" s="165">
        <v>0</v>
      </c>
      <c r="DG70" s="165">
        <v>0</v>
      </c>
      <c r="DH70" s="165">
        <v>136</v>
      </c>
      <c r="DI70" s="165">
        <v>112</v>
      </c>
      <c r="DJ70" s="165">
        <v>113</v>
      </c>
      <c r="DK70" s="165">
        <v>106</v>
      </c>
      <c r="DL70" s="165">
        <v>88</v>
      </c>
      <c r="DM70" s="165">
        <v>68</v>
      </c>
      <c r="DN70" s="165">
        <v>0</v>
      </c>
      <c r="DO70" s="165">
        <v>248</v>
      </c>
      <c r="DP70" s="165">
        <v>375</v>
      </c>
      <c r="DQ70" s="165">
        <v>248</v>
      </c>
      <c r="DR70" s="165">
        <v>623</v>
      </c>
      <c r="DS70" s="165">
        <v>623</v>
      </c>
      <c r="DT70" s="165">
        <v>0</v>
      </c>
      <c r="DU70" s="165">
        <v>429</v>
      </c>
      <c r="DV70" s="165">
        <v>16</v>
      </c>
      <c r="DW70" s="165">
        <v>1</v>
      </c>
      <c r="DX70" s="165">
        <v>17</v>
      </c>
      <c r="DY70" s="165">
        <v>624</v>
      </c>
      <c r="DZ70" s="165">
        <v>0</v>
      </c>
      <c r="EA70" s="166">
        <v>36.335000000000008</v>
      </c>
      <c r="EB70" s="166">
        <v>36.335000000000008</v>
      </c>
      <c r="EC70" s="166">
        <v>0.24</v>
      </c>
      <c r="ED70" s="166">
        <v>29.282</v>
      </c>
      <c r="EE70" s="166">
        <v>0</v>
      </c>
      <c r="EF70" s="166">
        <v>38.484999999999999</v>
      </c>
      <c r="EG70" s="167">
        <v>6.4081325301204917E-2</v>
      </c>
      <c r="EH70" s="165"/>
      <c r="EI70" s="165">
        <v>0</v>
      </c>
      <c r="EJ70" s="165">
        <v>620</v>
      </c>
      <c r="EK70" s="165">
        <v>0</v>
      </c>
      <c r="EL70" s="165">
        <v>244</v>
      </c>
      <c r="EM70" s="165">
        <v>376</v>
      </c>
      <c r="EN70" s="165">
        <v>620</v>
      </c>
      <c r="EO70" s="165">
        <v>0</v>
      </c>
      <c r="EP70" s="165">
        <v>16</v>
      </c>
      <c r="EQ70" s="165">
        <v>16</v>
      </c>
      <c r="ER70" s="165">
        <v>16</v>
      </c>
      <c r="ES70" s="165">
        <v>0</v>
      </c>
      <c r="ET70" s="165">
        <v>0</v>
      </c>
      <c r="EU70" s="166">
        <v>20</v>
      </c>
      <c r="EV70" s="166">
        <v>2</v>
      </c>
      <c r="EW70" s="166">
        <v>0.75</v>
      </c>
      <c r="EX70" s="166">
        <v>0</v>
      </c>
      <c r="EY70" s="166">
        <v>3.875</v>
      </c>
      <c r="EZ70" s="166">
        <v>26.625</v>
      </c>
      <c r="FA70" s="166">
        <v>0</v>
      </c>
      <c r="FB70" s="166">
        <v>0</v>
      </c>
      <c r="FC70" s="166">
        <v>0</v>
      </c>
      <c r="FD70" s="166">
        <v>0</v>
      </c>
      <c r="FE70" s="166">
        <v>0</v>
      </c>
      <c r="FF70" s="166">
        <v>0</v>
      </c>
      <c r="FG70" s="166">
        <v>0</v>
      </c>
      <c r="FH70" s="166">
        <v>0</v>
      </c>
      <c r="FI70" s="166">
        <v>0</v>
      </c>
      <c r="FJ70" s="166">
        <v>135.8388888888889</v>
      </c>
      <c r="FK70" s="166">
        <v>112</v>
      </c>
      <c r="FL70" s="166">
        <v>113</v>
      </c>
      <c r="FM70" s="166">
        <v>106.00555555555556</v>
      </c>
      <c r="FN70" s="166">
        <v>88</v>
      </c>
      <c r="FO70" s="166">
        <v>68.027777777777771</v>
      </c>
      <c r="FP70" s="166">
        <v>0</v>
      </c>
      <c r="FQ70" s="166">
        <v>247.8388888888889</v>
      </c>
      <c r="FR70" s="166">
        <v>375.03333333333336</v>
      </c>
      <c r="FS70" s="166">
        <v>247.8388888888889</v>
      </c>
      <c r="FT70" s="166">
        <v>622.87222222222226</v>
      </c>
      <c r="FU70" s="166">
        <v>622.87222222222226</v>
      </c>
      <c r="FV70" s="166">
        <v>15.4</v>
      </c>
      <c r="FW70" s="166">
        <v>0</v>
      </c>
      <c r="FX70" s="166">
        <v>15.4</v>
      </c>
      <c r="FY70" s="166">
        <v>622.87222222222226</v>
      </c>
      <c r="FZ70" s="165">
        <v>0</v>
      </c>
      <c r="GA70" s="165">
        <v>0</v>
      </c>
      <c r="GB70" s="165">
        <v>0</v>
      </c>
      <c r="GC70" s="165">
        <v>0</v>
      </c>
      <c r="GD70" s="165">
        <v>0</v>
      </c>
      <c r="GE70" s="165">
        <v>0</v>
      </c>
      <c r="GF70" s="165">
        <v>0</v>
      </c>
      <c r="GG70" s="165">
        <v>0</v>
      </c>
      <c r="GH70" s="165">
        <v>0</v>
      </c>
      <c r="GI70" s="165">
        <v>129</v>
      </c>
      <c r="GJ70" s="165">
        <v>136</v>
      </c>
      <c r="GK70" s="165">
        <v>109</v>
      </c>
      <c r="GL70" s="165">
        <v>111</v>
      </c>
      <c r="GM70" s="165">
        <v>104</v>
      </c>
      <c r="GN70" s="165">
        <v>72</v>
      </c>
      <c r="GO70" s="165">
        <v>0</v>
      </c>
      <c r="GP70" s="165">
        <v>265</v>
      </c>
      <c r="GQ70" s="165">
        <v>396</v>
      </c>
      <c r="GR70" s="165">
        <v>265</v>
      </c>
      <c r="GS70" s="165">
        <v>661</v>
      </c>
      <c r="GT70" s="165">
        <v>661</v>
      </c>
      <c r="GU70" s="165">
        <v>0</v>
      </c>
      <c r="GV70" s="165">
        <v>398</v>
      </c>
      <c r="GW70" s="165">
        <v>10</v>
      </c>
      <c r="GX70" s="165">
        <v>0</v>
      </c>
      <c r="GY70" s="165">
        <v>10</v>
      </c>
      <c r="GZ70" s="165">
        <v>661</v>
      </c>
      <c r="HA70" s="165">
        <v>0</v>
      </c>
      <c r="HB70" s="166">
        <v>40.978999999999999</v>
      </c>
      <c r="HC70" s="166">
        <v>39.298999999999999</v>
      </c>
      <c r="HD70" s="166">
        <v>0.56000000000000005</v>
      </c>
      <c r="HE70" s="166">
        <v>31.488999999999994</v>
      </c>
      <c r="HF70" s="166"/>
      <c r="HG70" s="166">
        <v>43.018999999999998</v>
      </c>
      <c r="HH70" s="166">
        <v>0</v>
      </c>
      <c r="HI70" s="166">
        <v>11</v>
      </c>
      <c r="HJ70" s="166">
        <v>11</v>
      </c>
      <c r="HK70" s="166">
        <v>11</v>
      </c>
      <c r="HL70" s="166">
        <v>0</v>
      </c>
      <c r="HM70" s="166">
        <v>0</v>
      </c>
      <c r="HN70" s="166">
        <v>0</v>
      </c>
      <c r="HO70" s="166">
        <v>836</v>
      </c>
      <c r="HP70" s="166">
        <v>0</v>
      </c>
      <c r="HQ70" s="166">
        <v>280</v>
      </c>
      <c r="HR70" s="166">
        <v>556</v>
      </c>
      <c r="HS70" s="166">
        <v>836</v>
      </c>
      <c r="HT70" s="166">
        <f>FY26_FE_Data_April15[[#This Row],[Oct 1, 2026 (CDC) - K]]+FY26_FE_Data_April15[[#This Row],[Oct 1, 2026 (CDC) - Grades 1-6]]+FY26_FE_Data_April15[[#This Row],[Oct 1, 2026 (CDC) - Grades 7-8]]</f>
        <v>280</v>
      </c>
      <c r="HU70" s="166">
        <v>0</v>
      </c>
      <c r="HW70" s="170"/>
      <c r="HY70" s="170"/>
    </row>
    <row r="71" spans="1:233" ht="26">
      <c r="A71" s="158" t="s">
        <v>425</v>
      </c>
      <c r="B71" s="159" t="s">
        <v>426</v>
      </c>
      <c r="C71" s="171" t="s">
        <v>427</v>
      </c>
      <c r="D71" s="160" t="s">
        <v>139</v>
      </c>
      <c r="E71" s="159" t="s">
        <v>784</v>
      </c>
      <c r="F71" s="159" t="s">
        <v>785</v>
      </c>
      <c r="G71" s="159" t="s">
        <v>785</v>
      </c>
      <c r="H71" s="161">
        <v>0</v>
      </c>
      <c r="I71" s="161">
        <v>0</v>
      </c>
      <c r="J71" s="161">
        <v>0</v>
      </c>
      <c r="K71" s="162">
        <v>0</v>
      </c>
      <c r="L71" s="162">
        <v>0</v>
      </c>
      <c r="M71" s="162">
        <v>0</v>
      </c>
      <c r="N71" s="162">
        <v>0</v>
      </c>
      <c r="O71" s="162">
        <v>0</v>
      </c>
      <c r="P71" s="162">
        <v>0</v>
      </c>
      <c r="Q71" s="162">
        <v>0</v>
      </c>
      <c r="R71" s="162">
        <v>0</v>
      </c>
      <c r="S71" s="160">
        <v>0</v>
      </c>
      <c r="T71" s="160">
        <v>0</v>
      </c>
      <c r="U71" s="160">
        <v>0</v>
      </c>
      <c r="V71" s="160">
        <v>0</v>
      </c>
      <c r="W71" s="160">
        <v>0</v>
      </c>
      <c r="X71" s="160">
        <v>0</v>
      </c>
      <c r="Y71" s="160">
        <v>0</v>
      </c>
      <c r="Z71" s="160">
        <v>0</v>
      </c>
      <c r="AA71" s="160">
        <v>0</v>
      </c>
      <c r="AB71" s="160">
        <v>0</v>
      </c>
      <c r="AC71" s="160">
        <v>0</v>
      </c>
      <c r="AD71" s="160">
        <v>0</v>
      </c>
      <c r="AE71" s="160">
        <v>0</v>
      </c>
      <c r="AF71" s="160">
        <v>0</v>
      </c>
      <c r="AG71" s="160">
        <v>0</v>
      </c>
      <c r="AH71" s="160">
        <v>0</v>
      </c>
      <c r="AI71" s="160">
        <v>0</v>
      </c>
      <c r="AJ71" s="160">
        <v>0</v>
      </c>
      <c r="AK71" s="160">
        <v>0</v>
      </c>
      <c r="AL71" s="161">
        <v>0</v>
      </c>
      <c r="AM71" s="161">
        <v>0</v>
      </c>
      <c r="AN71" s="161">
        <v>0</v>
      </c>
      <c r="AO71" s="161">
        <v>0</v>
      </c>
      <c r="AP71" s="162">
        <v>0</v>
      </c>
      <c r="AQ71" s="168">
        <v>0</v>
      </c>
      <c r="AR71" s="160">
        <v>0</v>
      </c>
      <c r="AS71" s="160">
        <v>0</v>
      </c>
      <c r="AT71" s="160">
        <v>0</v>
      </c>
      <c r="AU71" s="160">
        <v>0</v>
      </c>
      <c r="AV71" s="160">
        <v>0</v>
      </c>
      <c r="AW71" s="160">
        <v>0</v>
      </c>
      <c r="AX71" s="160">
        <v>0</v>
      </c>
      <c r="AY71" s="160">
        <v>0</v>
      </c>
      <c r="AZ71" s="160">
        <v>0</v>
      </c>
      <c r="BA71" s="160">
        <v>0</v>
      </c>
      <c r="BB71" s="160">
        <v>0</v>
      </c>
      <c r="BC71" s="160">
        <v>0</v>
      </c>
      <c r="BD71" s="160">
        <v>0</v>
      </c>
      <c r="BE71" s="160">
        <v>0</v>
      </c>
      <c r="BF71" s="160">
        <v>0</v>
      </c>
      <c r="BG71" s="160">
        <v>0</v>
      </c>
      <c r="BH71" s="160">
        <v>0</v>
      </c>
      <c r="BI71" s="160">
        <v>0</v>
      </c>
      <c r="BJ71" s="160">
        <v>0</v>
      </c>
      <c r="BK71" s="160">
        <v>0</v>
      </c>
      <c r="BL71" s="160">
        <v>0</v>
      </c>
      <c r="BM71" s="160">
        <v>0</v>
      </c>
      <c r="BN71" s="162">
        <v>0</v>
      </c>
      <c r="BO71" s="162">
        <v>0</v>
      </c>
      <c r="BP71" s="162">
        <v>0</v>
      </c>
      <c r="BQ71" s="163">
        <v>0</v>
      </c>
      <c r="BR71" s="164">
        <v>0</v>
      </c>
      <c r="BS71" s="164">
        <v>0</v>
      </c>
      <c r="BT71" s="164">
        <v>0</v>
      </c>
      <c r="BU71" s="164">
        <v>0</v>
      </c>
      <c r="BV71" s="165">
        <v>0</v>
      </c>
      <c r="BW71" s="165">
        <v>0</v>
      </c>
      <c r="BX71" s="166">
        <v>0</v>
      </c>
      <c r="BY71" s="166">
        <v>0</v>
      </c>
      <c r="BZ71" s="166">
        <v>0</v>
      </c>
      <c r="CA71" s="166">
        <v>0</v>
      </c>
      <c r="CB71" s="166">
        <v>0</v>
      </c>
      <c r="CC71" s="166">
        <v>0</v>
      </c>
      <c r="CD71" s="166">
        <v>0</v>
      </c>
      <c r="CE71" s="166">
        <v>0</v>
      </c>
      <c r="CF71" s="166">
        <v>0</v>
      </c>
      <c r="CG71" s="166">
        <v>0</v>
      </c>
      <c r="CH71" s="166">
        <v>0</v>
      </c>
      <c r="CI71" s="166">
        <v>0</v>
      </c>
      <c r="CJ71" s="166">
        <v>0</v>
      </c>
      <c r="CK71" s="166">
        <v>0</v>
      </c>
      <c r="CL71" s="166">
        <v>0</v>
      </c>
      <c r="CM71" s="166">
        <v>0</v>
      </c>
      <c r="CN71" s="166">
        <v>0</v>
      </c>
      <c r="CO71" s="166">
        <v>0</v>
      </c>
      <c r="CP71" s="166">
        <v>0</v>
      </c>
      <c r="CQ71" s="166">
        <v>0</v>
      </c>
      <c r="CR71" s="166">
        <v>0</v>
      </c>
      <c r="CS71" s="166">
        <v>0</v>
      </c>
      <c r="CT71" s="166">
        <v>0</v>
      </c>
      <c r="CU71" s="166">
        <v>0</v>
      </c>
      <c r="CV71" s="166">
        <v>0</v>
      </c>
      <c r="CW71" s="166">
        <v>0</v>
      </c>
      <c r="CX71" s="166">
        <v>0</v>
      </c>
      <c r="CY71" s="166">
        <v>0</v>
      </c>
      <c r="CZ71" s="165">
        <v>0</v>
      </c>
      <c r="DA71" s="165">
        <v>0</v>
      </c>
      <c r="DB71" s="165">
        <v>0</v>
      </c>
      <c r="DC71" s="165">
        <v>0</v>
      </c>
      <c r="DD71" s="165">
        <v>0</v>
      </c>
      <c r="DE71" s="165">
        <v>0</v>
      </c>
      <c r="DF71" s="165">
        <v>0</v>
      </c>
      <c r="DG71" s="165">
        <v>0</v>
      </c>
      <c r="DH71" s="165">
        <v>0</v>
      </c>
      <c r="DI71" s="165">
        <v>0</v>
      </c>
      <c r="DJ71" s="165">
        <v>0</v>
      </c>
      <c r="DK71" s="165">
        <v>0</v>
      </c>
      <c r="DL71" s="165">
        <v>0</v>
      </c>
      <c r="DM71" s="165">
        <v>0</v>
      </c>
      <c r="DN71" s="165">
        <v>0</v>
      </c>
      <c r="DO71" s="165">
        <v>0</v>
      </c>
      <c r="DP71" s="165">
        <v>0</v>
      </c>
      <c r="DQ71" s="165">
        <v>0</v>
      </c>
      <c r="DR71" s="165">
        <v>0</v>
      </c>
      <c r="DS71" s="165">
        <v>0</v>
      </c>
      <c r="DT71" s="165">
        <v>0</v>
      </c>
      <c r="DU71" s="165">
        <v>0</v>
      </c>
      <c r="DV71" s="165">
        <v>0</v>
      </c>
      <c r="DW71" s="165">
        <v>0</v>
      </c>
      <c r="DX71" s="165">
        <v>0</v>
      </c>
      <c r="DY71" s="165">
        <v>0</v>
      </c>
      <c r="DZ71" s="165">
        <v>0</v>
      </c>
      <c r="EA71" s="166">
        <v>0</v>
      </c>
      <c r="EB71" s="166">
        <v>0</v>
      </c>
      <c r="EC71" s="166">
        <v>0</v>
      </c>
      <c r="ED71" s="166">
        <v>0</v>
      </c>
      <c r="EE71" s="166">
        <v>0</v>
      </c>
      <c r="EF71" s="166">
        <v>0</v>
      </c>
      <c r="EG71" s="167">
        <v>0</v>
      </c>
      <c r="EH71" s="165">
        <v>0</v>
      </c>
      <c r="EI71" s="165">
        <v>0</v>
      </c>
      <c r="EJ71" s="165">
        <v>0</v>
      </c>
      <c r="EK71" s="165">
        <v>0</v>
      </c>
      <c r="EL71" s="165">
        <v>0</v>
      </c>
      <c r="EM71" s="165">
        <v>0</v>
      </c>
      <c r="EN71" s="165">
        <v>0</v>
      </c>
      <c r="EO71" s="165">
        <v>0</v>
      </c>
      <c r="EP71" s="165">
        <v>0</v>
      </c>
      <c r="EQ71" s="165">
        <v>0</v>
      </c>
      <c r="ER71" s="165">
        <v>0</v>
      </c>
      <c r="ES71" s="165">
        <v>0</v>
      </c>
      <c r="ET71" s="165">
        <v>0</v>
      </c>
      <c r="EU71" s="166">
        <v>0</v>
      </c>
      <c r="EV71" s="166">
        <v>0</v>
      </c>
      <c r="EW71" s="166">
        <v>0</v>
      </c>
      <c r="EX71" s="166">
        <v>0</v>
      </c>
      <c r="EY71" s="166">
        <v>0</v>
      </c>
      <c r="EZ71" s="166">
        <v>0</v>
      </c>
      <c r="FA71" s="166">
        <v>0</v>
      </c>
      <c r="FB71" s="166">
        <v>0</v>
      </c>
      <c r="FC71" s="166">
        <v>0</v>
      </c>
      <c r="FD71" s="166">
        <v>0</v>
      </c>
      <c r="FE71" s="166">
        <v>0</v>
      </c>
      <c r="FF71" s="166">
        <v>0</v>
      </c>
      <c r="FG71" s="166">
        <v>0</v>
      </c>
      <c r="FH71" s="166">
        <v>0</v>
      </c>
      <c r="FI71" s="166">
        <v>0</v>
      </c>
      <c r="FJ71" s="166">
        <v>0</v>
      </c>
      <c r="FK71" s="166">
        <v>0</v>
      </c>
      <c r="FL71" s="166">
        <v>0</v>
      </c>
      <c r="FM71" s="166">
        <v>0</v>
      </c>
      <c r="FN71" s="166">
        <v>0</v>
      </c>
      <c r="FO71" s="166">
        <v>0</v>
      </c>
      <c r="FP71" s="166">
        <v>0</v>
      </c>
      <c r="FQ71" s="166">
        <v>0</v>
      </c>
      <c r="FR71" s="166">
        <v>0</v>
      </c>
      <c r="FS71" s="166">
        <v>0</v>
      </c>
      <c r="FT71" s="166">
        <v>0</v>
      </c>
      <c r="FU71" s="166">
        <v>0</v>
      </c>
      <c r="FV71" s="166">
        <v>0</v>
      </c>
      <c r="FW71" s="166">
        <v>0</v>
      </c>
      <c r="FX71" s="166">
        <v>0</v>
      </c>
      <c r="FY71" s="166">
        <v>0</v>
      </c>
      <c r="FZ71" s="165">
        <v>0</v>
      </c>
      <c r="GA71" s="165">
        <v>0</v>
      </c>
      <c r="GB71" s="165">
        <v>0</v>
      </c>
      <c r="GC71" s="165">
        <v>0</v>
      </c>
      <c r="GD71" s="165">
        <v>0</v>
      </c>
      <c r="GE71" s="165">
        <v>0</v>
      </c>
      <c r="GF71" s="165">
        <v>0</v>
      </c>
      <c r="GG71" s="165">
        <v>0</v>
      </c>
      <c r="GH71" s="165">
        <v>0</v>
      </c>
      <c r="GI71" s="165">
        <v>0</v>
      </c>
      <c r="GJ71" s="165">
        <v>0</v>
      </c>
      <c r="GK71" s="165">
        <v>0</v>
      </c>
      <c r="GL71" s="165">
        <v>0</v>
      </c>
      <c r="GM71" s="165">
        <v>0</v>
      </c>
      <c r="GN71" s="165">
        <v>0</v>
      </c>
      <c r="GO71" s="165">
        <v>0</v>
      </c>
      <c r="GP71" s="165">
        <v>0</v>
      </c>
      <c r="GQ71" s="165">
        <v>0</v>
      </c>
      <c r="GR71" s="165">
        <v>0</v>
      </c>
      <c r="GS71" s="165">
        <v>0</v>
      </c>
      <c r="GT71" s="165">
        <v>0</v>
      </c>
      <c r="GU71" s="165">
        <v>0</v>
      </c>
      <c r="GV71" s="165">
        <v>0</v>
      </c>
      <c r="GW71" s="165">
        <v>0</v>
      </c>
      <c r="GX71" s="165">
        <v>0</v>
      </c>
      <c r="GY71" s="165">
        <v>0</v>
      </c>
      <c r="GZ71" s="165">
        <v>0</v>
      </c>
      <c r="HA71" s="165">
        <v>0</v>
      </c>
      <c r="HB71" s="166">
        <v>0</v>
      </c>
      <c r="HC71" s="166">
        <v>0</v>
      </c>
      <c r="HD71" s="166">
        <v>0</v>
      </c>
      <c r="HE71" s="166">
        <v>0</v>
      </c>
      <c r="HF71" s="166"/>
      <c r="HG71" s="166">
        <v>0</v>
      </c>
      <c r="HH71" s="166">
        <v>0</v>
      </c>
      <c r="HI71" s="166">
        <v>0</v>
      </c>
      <c r="HJ71" s="166">
        <v>0</v>
      </c>
      <c r="HK71" s="166">
        <v>0</v>
      </c>
      <c r="HL71" s="166">
        <v>0</v>
      </c>
      <c r="HM71" s="166">
        <v>0</v>
      </c>
      <c r="HN71" s="166">
        <v>0</v>
      </c>
      <c r="HO71" s="166">
        <v>0</v>
      </c>
      <c r="HP71" s="166">
        <v>0</v>
      </c>
      <c r="HQ71" s="166">
        <v>0</v>
      </c>
      <c r="HR71" s="166">
        <v>0</v>
      </c>
      <c r="HS71" s="166">
        <v>0</v>
      </c>
      <c r="HT71" s="166">
        <f>FY26_FE_Data_April15[[#This Row],[Oct 1, 2026 (CDC) - K]]+FY26_FE_Data_April15[[#This Row],[Oct 1, 2026 (CDC) - Grades 1-6]]+FY26_FE_Data_April15[[#This Row],[Oct 1, 2026 (CDC) - Grades 7-8]]</f>
        <v>0</v>
      </c>
      <c r="HU71" s="166">
        <v>0</v>
      </c>
      <c r="HW71" s="170"/>
      <c r="HY71" s="170"/>
    </row>
    <row r="72" spans="1:233" ht="26">
      <c r="A72" s="158" t="s">
        <v>428</v>
      </c>
      <c r="B72" s="159" t="s">
        <v>429</v>
      </c>
      <c r="C72" s="160" t="s">
        <v>430</v>
      </c>
      <c r="D72" s="160" t="s">
        <v>139</v>
      </c>
      <c r="E72" s="159" t="s">
        <v>784</v>
      </c>
      <c r="F72" s="159" t="s">
        <v>784</v>
      </c>
      <c r="G72" s="159"/>
      <c r="H72" s="161">
        <v>46.35</v>
      </c>
      <c r="I72" s="161">
        <v>0.74444444444444446</v>
      </c>
      <c r="J72" s="161">
        <v>47.094444444444449</v>
      </c>
      <c r="K72" s="162">
        <v>63</v>
      </c>
      <c r="L72" s="162">
        <v>269</v>
      </c>
      <c r="M72" s="162">
        <v>0</v>
      </c>
      <c r="N72" s="162">
        <v>0</v>
      </c>
      <c r="O72" s="162">
        <v>332</v>
      </c>
      <c r="P72" s="162">
        <v>269</v>
      </c>
      <c r="Q72" s="162">
        <v>332</v>
      </c>
      <c r="R72" s="162">
        <v>1</v>
      </c>
      <c r="S72" s="160">
        <v>61.55</v>
      </c>
      <c r="T72" s="160">
        <v>55.43333333333333</v>
      </c>
      <c r="U72" s="160">
        <v>43.255555555555553</v>
      </c>
      <c r="V72" s="160">
        <v>48.638888888888886</v>
      </c>
      <c r="W72" s="160">
        <v>48.861111111111114</v>
      </c>
      <c r="X72" s="160">
        <v>32.883333333333333</v>
      </c>
      <c r="Y72" s="160">
        <v>30.35</v>
      </c>
      <c r="Z72" s="160">
        <v>0</v>
      </c>
      <c r="AA72" s="160">
        <v>0</v>
      </c>
      <c r="AB72" s="160">
        <v>0</v>
      </c>
      <c r="AC72" s="160">
        <v>0</v>
      </c>
      <c r="AD72" s="160">
        <v>0</v>
      </c>
      <c r="AE72" s="160">
        <v>0</v>
      </c>
      <c r="AF72" s="160">
        <v>259.42222222222222</v>
      </c>
      <c r="AG72" s="160">
        <v>0</v>
      </c>
      <c r="AH72" s="160">
        <v>0</v>
      </c>
      <c r="AI72" s="160">
        <v>320.97222222222223</v>
      </c>
      <c r="AJ72" s="160">
        <v>259.42222222222222</v>
      </c>
      <c r="AK72" s="160">
        <v>320.97222222222223</v>
      </c>
      <c r="AL72" s="161">
        <v>46.272222222222226</v>
      </c>
      <c r="AM72" s="161">
        <v>1</v>
      </c>
      <c r="AN72" s="161">
        <v>47.272222222222226</v>
      </c>
      <c r="AO72" s="161">
        <v>321.97222222222223</v>
      </c>
      <c r="AP72" s="162">
        <v>51</v>
      </c>
      <c r="AQ72" s="168">
        <v>51</v>
      </c>
      <c r="AR72" s="160">
        <v>52</v>
      </c>
      <c r="AS72" s="160">
        <v>48</v>
      </c>
      <c r="AT72" s="160">
        <v>43</v>
      </c>
      <c r="AU72" s="160">
        <v>51</v>
      </c>
      <c r="AV72" s="160">
        <v>27</v>
      </c>
      <c r="AW72" s="160">
        <v>0</v>
      </c>
      <c r="AX72" s="160">
        <v>0</v>
      </c>
      <c r="AY72" s="160">
        <v>0</v>
      </c>
      <c r="AZ72" s="160">
        <v>0</v>
      </c>
      <c r="BA72" s="160">
        <v>0</v>
      </c>
      <c r="BB72" s="160">
        <v>0</v>
      </c>
      <c r="BC72" s="160">
        <v>272</v>
      </c>
      <c r="BD72" s="160">
        <v>0</v>
      </c>
      <c r="BE72" s="160">
        <v>0</v>
      </c>
      <c r="BF72" s="160">
        <v>323</v>
      </c>
      <c r="BG72" s="160">
        <v>272</v>
      </c>
      <c r="BH72" s="160">
        <v>323</v>
      </c>
      <c r="BI72" s="160">
        <v>47</v>
      </c>
      <c r="BJ72" s="160">
        <v>4</v>
      </c>
      <c r="BK72" s="160">
        <v>0</v>
      </c>
      <c r="BL72" s="160">
        <v>66</v>
      </c>
      <c r="BM72" s="160">
        <v>46</v>
      </c>
      <c r="BN72" s="162">
        <v>0</v>
      </c>
      <c r="BO72" s="162">
        <v>46</v>
      </c>
      <c r="BP72" s="162">
        <v>62</v>
      </c>
      <c r="BQ72" s="163">
        <v>4.7770700636942609E-2</v>
      </c>
      <c r="BR72" s="164">
        <v>19</v>
      </c>
      <c r="BS72" s="164">
        <v>18</v>
      </c>
      <c r="BT72" s="164">
        <v>18</v>
      </c>
      <c r="BU72" s="164">
        <v>19</v>
      </c>
      <c r="BV72" s="165">
        <v>0</v>
      </c>
      <c r="BW72" s="165">
        <v>0</v>
      </c>
      <c r="BX72" s="166">
        <v>0</v>
      </c>
      <c r="BY72" s="166">
        <v>2.216666</v>
      </c>
      <c r="BZ72" s="166">
        <v>50.611111000000001</v>
      </c>
      <c r="CA72" s="166">
        <v>52.827777777777776</v>
      </c>
      <c r="CB72" s="166">
        <v>47.805555555555557</v>
      </c>
      <c r="CC72" s="166">
        <v>49.494444444444447</v>
      </c>
      <c r="CD72" s="166">
        <v>49.355555555555554</v>
      </c>
      <c r="CE72" s="166">
        <v>44.35</v>
      </c>
      <c r="CF72" s="166">
        <v>50.8</v>
      </c>
      <c r="CG72" s="166">
        <v>26.055555555555557</v>
      </c>
      <c r="CH72" s="166">
        <v>0</v>
      </c>
      <c r="CI72" s="166">
        <v>0</v>
      </c>
      <c r="CJ72" s="166">
        <v>0</v>
      </c>
      <c r="CK72" s="166">
        <v>0</v>
      </c>
      <c r="CL72" s="166">
        <v>0</v>
      </c>
      <c r="CM72" s="166">
        <v>0</v>
      </c>
      <c r="CN72" s="166">
        <v>267.86111111111109</v>
      </c>
      <c r="CO72" s="166">
        <v>0</v>
      </c>
      <c r="CP72" s="166">
        <v>0</v>
      </c>
      <c r="CQ72" s="166">
        <v>320.68888888888887</v>
      </c>
      <c r="CR72" s="166">
        <v>267.86111111111109</v>
      </c>
      <c r="CS72" s="166">
        <v>320.68888888888887</v>
      </c>
      <c r="CT72" s="166">
        <v>55.633333333333297</v>
      </c>
      <c r="CU72" s="166">
        <v>3.87222222222222</v>
      </c>
      <c r="CV72" s="166">
        <v>59.505555555555517</v>
      </c>
      <c r="CW72" s="166">
        <v>324.56111111111107</v>
      </c>
      <c r="CX72" s="166">
        <v>0</v>
      </c>
      <c r="CY72" s="166">
        <v>59</v>
      </c>
      <c r="CZ72" s="165">
        <v>5</v>
      </c>
      <c r="DA72" s="165">
        <v>64</v>
      </c>
      <c r="DB72" s="165">
        <v>63</v>
      </c>
      <c r="DC72" s="165">
        <v>48</v>
      </c>
      <c r="DD72" s="165">
        <v>54</v>
      </c>
      <c r="DE72" s="165">
        <v>50</v>
      </c>
      <c r="DF72" s="165">
        <v>43</v>
      </c>
      <c r="DG72" s="165">
        <v>32</v>
      </c>
      <c r="DH72" s="165">
        <v>0</v>
      </c>
      <c r="DI72" s="165">
        <v>0</v>
      </c>
      <c r="DJ72" s="165">
        <v>0</v>
      </c>
      <c r="DK72" s="165">
        <v>0</v>
      </c>
      <c r="DL72" s="165">
        <v>0</v>
      </c>
      <c r="DM72" s="165">
        <v>0</v>
      </c>
      <c r="DN72" s="165">
        <v>290</v>
      </c>
      <c r="DO72" s="165">
        <v>0</v>
      </c>
      <c r="DP72" s="165">
        <v>0</v>
      </c>
      <c r="DQ72" s="165">
        <v>354</v>
      </c>
      <c r="DR72" s="165">
        <v>290</v>
      </c>
      <c r="DS72" s="165">
        <v>354</v>
      </c>
      <c r="DT72" s="165">
        <v>0</v>
      </c>
      <c r="DU72" s="165">
        <v>89</v>
      </c>
      <c r="DV72" s="165">
        <v>62</v>
      </c>
      <c r="DW72" s="165">
        <v>7</v>
      </c>
      <c r="DX72" s="165">
        <v>69</v>
      </c>
      <c r="DY72" s="165">
        <v>361</v>
      </c>
      <c r="DZ72" s="165">
        <v>63</v>
      </c>
      <c r="EA72" s="166">
        <v>19.630000000000003</v>
      </c>
      <c r="EB72" s="166">
        <v>18.630000000000003</v>
      </c>
      <c r="EC72" s="166">
        <v>18.63</v>
      </c>
      <c r="ED72" s="166">
        <v>0</v>
      </c>
      <c r="EE72" s="166">
        <v>0</v>
      </c>
      <c r="EF72" s="166">
        <v>19.63</v>
      </c>
      <c r="EG72" s="167">
        <v>6.1805555555555669E-2</v>
      </c>
      <c r="EH72" s="165"/>
      <c r="EI72" s="165">
        <v>62</v>
      </c>
      <c r="EJ72" s="165">
        <v>290</v>
      </c>
      <c r="EK72" s="165">
        <v>290</v>
      </c>
      <c r="EL72" s="165">
        <v>0</v>
      </c>
      <c r="EM72" s="165">
        <v>0</v>
      </c>
      <c r="EN72" s="165">
        <v>352</v>
      </c>
      <c r="EO72" s="165">
        <v>0</v>
      </c>
      <c r="EP72" s="165">
        <v>69</v>
      </c>
      <c r="EQ72" s="165">
        <v>69</v>
      </c>
      <c r="ER72" s="165">
        <v>66</v>
      </c>
      <c r="ES72" s="165">
        <v>3</v>
      </c>
      <c r="ET72" s="165">
        <v>2</v>
      </c>
      <c r="EU72" s="166">
        <v>6.9</v>
      </c>
      <c r="EV72" s="166">
        <v>0.72</v>
      </c>
      <c r="EW72" s="166">
        <v>1.73</v>
      </c>
      <c r="EX72" s="166">
        <v>0</v>
      </c>
      <c r="EY72" s="166">
        <v>0</v>
      </c>
      <c r="EZ72" s="166">
        <v>9.35</v>
      </c>
      <c r="FA72" s="166">
        <v>5</v>
      </c>
      <c r="FB72" s="166">
        <v>60.177777777777777</v>
      </c>
      <c r="FC72" s="166">
        <v>65.177777777777777</v>
      </c>
      <c r="FD72" s="166">
        <v>60.594444444444441</v>
      </c>
      <c r="FE72" s="166">
        <v>47.894444444444446</v>
      </c>
      <c r="FF72" s="166">
        <v>50.633333333333333</v>
      </c>
      <c r="FG72" s="166">
        <v>49.516666666666666</v>
      </c>
      <c r="FH72" s="166">
        <v>42.25</v>
      </c>
      <c r="FI72" s="166">
        <v>28.994444444444444</v>
      </c>
      <c r="FJ72" s="166">
        <v>0</v>
      </c>
      <c r="FK72" s="166">
        <v>0</v>
      </c>
      <c r="FL72" s="166">
        <v>0</v>
      </c>
      <c r="FM72" s="166">
        <v>0</v>
      </c>
      <c r="FN72" s="166">
        <v>0</v>
      </c>
      <c r="FO72" s="166">
        <v>0</v>
      </c>
      <c r="FP72" s="166">
        <v>279.88333333333333</v>
      </c>
      <c r="FQ72" s="166">
        <v>0</v>
      </c>
      <c r="FR72" s="166">
        <v>0</v>
      </c>
      <c r="FS72" s="166">
        <v>345.06111111111113</v>
      </c>
      <c r="FT72" s="166">
        <v>279.88333333333333</v>
      </c>
      <c r="FU72" s="166">
        <v>345.06111111111113</v>
      </c>
      <c r="FV72" s="166">
        <v>66.161111111111111</v>
      </c>
      <c r="FW72" s="166">
        <v>4.7722222222222221</v>
      </c>
      <c r="FX72" s="166">
        <v>70.933333333333337</v>
      </c>
      <c r="FY72" s="166">
        <v>349.83333333333337</v>
      </c>
      <c r="FZ72" s="165">
        <v>6</v>
      </c>
      <c r="GA72" s="165">
        <v>54</v>
      </c>
      <c r="GB72" s="165">
        <v>60</v>
      </c>
      <c r="GC72" s="165">
        <v>56</v>
      </c>
      <c r="GD72" s="165">
        <v>52</v>
      </c>
      <c r="GE72" s="165">
        <v>52</v>
      </c>
      <c r="GF72" s="165">
        <v>55</v>
      </c>
      <c r="GG72" s="165">
        <v>53</v>
      </c>
      <c r="GH72" s="165">
        <v>41</v>
      </c>
      <c r="GI72" s="165">
        <v>0</v>
      </c>
      <c r="GJ72" s="165">
        <v>0</v>
      </c>
      <c r="GK72" s="165">
        <v>0</v>
      </c>
      <c r="GL72" s="165">
        <v>0</v>
      </c>
      <c r="GM72" s="165">
        <v>0</v>
      </c>
      <c r="GN72" s="165">
        <v>0</v>
      </c>
      <c r="GO72" s="165">
        <v>309</v>
      </c>
      <c r="GP72" s="165">
        <v>0</v>
      </c>
      <c r="GQ72" s="165">
        <v>0</v>
      </c>
      <c r="GR72" s="165">
        <v>369</v>
      </c>
      <c r="GS72" s="165">
        <v>309</v>
      </c>
      <c r="GT72" s="165">
        <v>369</v>
      </c>
      <c r="GU72" s="165">
        <v>0</v>
      </c>
      <c r="GV72" s="165">
        <v>106</v>
      </c>
      <c r="GW72" s="165">
        <v>64</v>
      </c>
      <c r="GX72" s="165">
        <v>9</v>
      </c>
      <c r="GY72" s="165">
        <v>73</v>
      </c>
      <c r="GZ72" s="165">
        <v>378</v>
      </c>
      <c r="HA72" s="165">
        <v>75</v>
      </c>
      <c r="HB72" s="166">
        <v>22.5</v>
      </c>
      <c r="HC72" s="166">
        <v>21.5</v>
      </c>
      <c r="HD72" s="166">
        <v>19</v>
      </c>
      <c r="HE72" s="166">
        <v>0.5</v>
      </c>
      <c r="HF72" s="166"/>
      <c r="HG72" s="166">
        <v>22.5</v>
      </c>
      <c r="HH72" s="166">
        <v>0</v>
      </c>
      <c r="HI72" s="166">
        <v>75</v>
      </c>
      <c r="HJ72" s="166">
        <v>75</v>
      </c>
      <c r="HK72" s="166">
        <v>67</v>
      </c>
      <c r="HL72" s="166">
        <v>8</v>
      </c>
      <c r="HM72" s="166">
        <v>3</v>
      </c>
      <c r="HN72" s="166">
        <v>70</v>
      </c>
      <c r="HO72" s="166">
        <v>299</v>
      </c>
      <c r="HP72" s="166">
        <v>299</v>
      </c>
      <c r="HQ72" s="166">
        <v>0</v>
      </c>
      <c r="HR72" s="166">
        <v>0</v>
      </c>
      <c r="HS72" s="166">
        <v>369</v>
      </c>
      <c r="HT72" s="166">
        <f>FY26_FE_Data_April15[[#This Row],[Oct 1, 2026 (CDC) - K]]+FY26_FE_Data_April15[[#This Row],[Oct 1, 2026 (CDC) - Grades 1-6]]+FY26_FE_Data_April15[[#This Row],[Oct 1, 2026 (CDC) - Grades 7-8]]</f>
        <v>369</v>
      </c>
      <c r="HU72" s="166">
        <v>0</v>
      </c>
      <c r="HW72" s="170"/>
      <c r="HY72" s="170"/>
    </row>
    <row r="73" spans="1:233" ht="39">
      <c r="A73" s="158" t="s">
        <v>431</v>
      </c>
      <c r="B73" s="159" t="s">
        <v>432</v>
      </c>
      <c r="C73" s="160" t="s">
        <v>433</v>
      </c>
      <c r="D73" s="160" t="s">
        <v>139</v>
      </c>
      <c r="E73" s="159" t="s">
        <v>784</v>
      </c>
      <c r="F73" s="159" t="s">
        <v>784</v>
      </c>
      <c r="G73" s="159"/>
      <c r="H73" s="164">
        <v>90.772222222222226</v>
      </c>
      <c r="I73" s="164">
        <v>7.3888888888888893</v>
      </c>
      <c r="J73" s="164">
        <v>98.161111111111111</v>
      </c>
      <c r="K73" s="176">
        <v>75</v>
      </c>
      <c r="L73" s="176">
        <v>501</v>
      </c>
      <c r="M73" s="176">
        <v>233</v>
      </c>
      <c r="N73" s="176">
        <v>106</v>
      </c>
      <c r="O73" s="176">
        <v>915</v>
      </c>
      <c r="P73" s="176">
        <v>840</v>
      </c>
      <c r="Q73" s="176">
        <v>809</v>
      </c>
      <c r="R73" s="176">
        <v>6</v>
      </c>
      <c r="S73" s="160">
        <v>74.838888888888889</v>
      </c>
      <c r="T73" s="160">
        <v>74.238888888888894</v>
      </c>
      <c r="U73" s="160">
        <v>74.527777777777771</v>
      </c>
      <c r="V73" s="160">
        <v>81.016666666666666</v>
      </c>
      <c r="W73" s="160">
        <v>80.00555555555556</v>
      </c>
      <c r="X73" s="160">
        <v>77.961111111111109</v>
      </c>
      <c r="Y73" s="160">
        <v>105.5</v>
      </c>
      <c r="Z73" s="160">
        <v>112.27222222222223</v>
      </c>
      <c r="AA73" s="160">
        <v>116.93888888888888</v>
      </c>
      <c r="AB73" s="160">
        <v>104.36666666666666</v>
      </c>
      <c r="AC73" s="160">
        <v>0</v>
      </c>
      <c r="AD73" s="160">
        <v>0</v>
      </c>
      <c r="AE73" s="160">
        <v>0</v>
      </c>
      <c r="AF73" s="160">
        <v>493.25</v>
      </c>
      <c r="AG73" s="160">
        <v>229.21111111111111</v>
      </c>
      <c r="AH73" s="160">
        <v>104.36666666666666</v>
      </c>
      <c r="AI73" s="160">
        <v>797.3</v>
      </c>
      <c r="AJ73" s="160">
        <v>826.82777777777778</v>
      </c>
      <c r="AK73" s="160">
        <v>901.66666666666663</v>
      </c>
      <c r="AL73" s="164">
        <v>92.477777777777774</v>
      </c>
      <c r="AM73" s="164">
        <v>7.1888888888888891</v>
      </c>
      <c r="AN73" s="164">
        <v>99.666666666666657</v>
      </c>
      <c r="AO73" s="164">
        <v>908.8555555555555</v>
      </c>
      <c r="AP73" s="176">
        <v>74</v>
      </c>
      <c r="AQ73" s="168">
        <v>75</v>
      </c>
      <c r="AR73" s="160">
        <v>75</v>
      </c>
      <c r="AS73" s="160">
        <v>79</v>
      </c>
      <c r="AT73" s="160">
        <v>81</v>
      </c>
      <c r="AU73" s="160">
        <v>82</v>
      </c>
      <c r="AV73" s="160">
        <v>109</v>
      </c>
      <c r="AW73" s="160">
        <v>119</v>
      </c>
      <c r="AX73" s="160">
        <v>117</v>
      </c>
      <c r="AY73" s="160">
        <v>100</v>
      </c>
      <c r="AZ73" s="160">
        <v>0</v>
      </c>
      <c r="BA73" s="160">
        <v>0</v>
      </c>
      <c r="BB73" s="160">
        <v>0</v>
      </c>
      <c r="BC73" s="160">
        <v>501</v>
      </c>
      <c r="BD73" s="160">
        <v>236</v>
      </c>
      <c r="BE73" s="160">
        <v>100</v>
      </c>
      <c r="BF73" s="160">
        <v>811</v>
      </c>
      <c r="BG73" s="160">
        <v>837</v>
      </c>
      <c r="BH73" s="160">
        <v>911</v>
      </c>
      <c r="BI73" s="160">
        <v>0</v>
      </c>
      <c r="BJ73" s="160">
        <v>74</v>
      </c>
      <c r="BK73" s="160">
        <v>0</v>
      </c>
      <c r="BL73" s="160">
        <v>194</v>
      </c>
      <c r="BM73" s="160">
        <v>99</v>
      </c>
      <c r="BN73" s="176">
        <v>12</v>
      </c>
      <c r="BO73" s="176">
        <v>111</v>
      </c>
      <c r="BP73" s="176">
        <v>1</v>
      </c>
      <c r="BQ73" s="163">
        <v>7.8589257428118953E-2</v>
      </c>
      <c r="BR73" s="164">
        <v>49.26</v>
      </c>
      <c r="BS73" s="164">
        <v>46.260000000000005</v>
      </c>
      <c r="BT73" s="164">
        <v>43.388000000000005</v>
      </c>
      <c r="BU73" s="164">
        <v>47.704000000000001</v>
      </c>
      <c r="BV73" s="165">
        <v>0</v>
      </c>
      <c r="BW73" s="165">
        <v>0</v>
      </c>
      <c r="BX73" s="166">
        <v>0</v>
      </c>
      <c r="BY73" s="166">
        <v>74.533332999999999</v>
      </c>
      <c r="BZ73" s="166">
        <v>0</v>
      </c>
      <c r="CA73" s="166">
        <v>74.533333333333331</v>
      </c>
      <c r="CB73" s="166">
        <v>76.205555555555549</v>
      </c>
      <c r="CC73" s="166">
        <v>74.088888888888889</v>
      </c>
      <c r="CD73" s="166">
        <v>78.961111111111109</v>
      </c>
      <c r="CE73" s="166">
        <v>80.927777777777777</v>
      </c>
      <c r="CF73" s="166">
        <v>81.094444444444449</v>
      </c>
      <c r="CG73" s="166">
        <v>105.81111111111112</v>
      </c>
      <c r="CH73" s="166">
        <v>113.55555555555556</v>
      </c>
      <c r="CI73" s="166">
        <v>113.75555555555556</v>
      </c>
      <c r="CJ73" s="166">
        <v>95.733333333333334</v>
      </c>
      <c r="CK73" s="166">
        <v>0</v>
      </c>
      <c r="CL73" s="166">
        <v>0</v>
      </c>
      <c r="CM73" s="166">
        <v>0</v>
      </c>
      <c r="CN73" s="166">
        <v>497.08888888888885</v>
      </c>
      <c r="CO73" s="166">
        <v>227.31111111111113</v>
      </c>
      <c r="CP73" s="166">
        <v>95.733333333333334</v>
      </c>
      <c r="CQ73" s="166">
        <v>798.93333333333339</v>
      </c>
      <c r="CR73" s="166">
        <v>820.13333333333333</v>
      </c>
      <c r="CS73" s="166">
        <v>894.66666666666674</v>
      </c>
      <c r="CT73" s="166">
        <v>97.988888888888894</v>
      </c>
      <c r="CU73" s="166">
        <v>10.133333333333301</v>
      </c>
      <c r="CV73" s="166">
        <v>108.12222222222219</v>
      </c>
      <c r="CW73" s="166">
        <v>904.80000000000007</v>
      </c>
      <c r="CX73" s="166">
        <v>0</v>
      </c>
      <c r="CY73" s="166">
        <v>50</v>
      </c>
      <c r="CZ73" s="165">
        <v>24</v>
      </c>
      <c r="DA73" s="165">
        <v>74</v>
      </c>
      <c r="DB73" s="165">
        <v>75</v>
      </c>
      <c r="DC73" s="165">
        <v>75</v>
      </c>
      <c r="DD73" s="165">
        <v>80</v>
      </c>
      <c r="DE73" s="165">
        <v>81</v>
      </c>
      <c r="DF73" s="165">
        <v>81</v>
      </c>
      <c r="DG73" s="165">
        <v>108</v>
      </c>
      <c r="DH73" s="165">
        <v>117</v>
      </c>
      <c r="DI73" s="165">
        <v>121</v>
      </c>
      <c r="DJ73" s="165">
        <v>99</v>
      </c>
      <c r="DK73" s="165">
        <v>0</v>
      </c>
      <c r="DL73" s="165">
        <v>0</v>
      </c>
      <c r="DM73" s="165">
        <v>0</v>
      </c>
      <c r="DN73" s="165">
        <v>500</v>
      </c>
      <c r="DO73" s="165">
        <v>238</v>
      </c>
      <c r="DP73" s="165">
        <v>99</v>
      </c>
      <c r="DQ73" s="165">
        <v>812</v>
      </c>
      <c r="DR73" s="165">
        <v>837</v>
      </c>
      <c r="DS73" s="165">
        <v>911</v>
      </c>
      <c r="DT73" s="165">
        <v>0</v>
      </c>
      <c r="DU73" s="165">
        <v>151</v>
      </c>
      <c r="DV73" s="165">
        <v>89</v>
      </c>
      <c r="DW73" s="165">
        <v>5</v>
      </c>
      <c r="DX73" s="165">
        <v>94</v>
      </c>
      <c r="DY73" s="165">
        <v>916</v>
      </c>
      <c r="DZ73" s="165">
        <v>27</v>
      </c>
      <c r="EA73" s="166">
        <v>50.999999999999993</v>
      </c>
      <c r="EB73" s="166">
        <v>47.999999999999993</v>
      </c>
      <c r="EC73" s="166">
        <v>23.5</v>
      </c>
      <c r="ED73" s="166">
        <v>19.732000000000003</v>
      </c>
      <c r="EE73" s="166">
        <v>0</v>
      </c>
      <c r="EF73" s="166">
        <v>51.613</v>
      </c>
      <c r="EG73" s="167">
        <v>7.893600955686797E-2</v>
      </c>
      <c r="EH73" s="165"/>
      <c r="EI73" s="165">
        <v>75</v>
      </c>
      <c r="EJ73" s="165">
        <v>830</v>
      </c>
      <c r="EK73" s="165">
        <v>490</v>
      </c>
      <c r="EL73" s="165">
        <v>240</v>
      </c>
      <c r="EM73" s="165">
        <v>100</v>
      </c>
      <c r="EN73" s="165">
        <v>905</v>
      </c>
      <c r="EO73" s="165">
        <v>0</v>
      </c>
      <c r="EP73" s="165">
        <v>105</v>
      </c>
      <c r="EQ73" s="165">
        <v>105</v>
      </c>
      <c r="ER73" s="165">
        <v>100</v>
      </c>
      <c r="ES73" s="165">
        <v>5</v>
      </c>
      <c r="ET73" s="165">
        <v>25</v>
      </c>
      <c r="EU73" s="166">
        <v>35.662999999999997</v>
      </c>
      <c r="EV73" s="166">
        <v>0</v>
      </c>
      <c r="EW73" s="166">
        <v>3.7810000000000001</v>
      </c>
      <c r="EX73" s="166">
        <v>1.825</v>
      </c>
      <c r="EY73" s="166">
        <v>3.3879999999999999</v>
      </c>
      <c r="EZ73" s="166">
        <v>44.656999999999996</v>
      </c>
      <c r="FA73" s="166">
        <v>20.033333333333335</v>
      </c>
      <c r="FB73" s="166">
        <v>54.027777777777779</v>
      </c>
      <c r="FC73" s="166">
        <v>74.061111111111117</v>
      </c>
      <c r="FD73" s="166">
        <v>74.261111111111106</v>
      </c>
      <c r="FE73" s="166">
        <v>74.988888888888894</v>
      </c>
      <c r="FF73" s="166">
        <v>79.972222222222229</v>
      </c>
      <c r="FG73" s="166">
        <v>80.922222222222217</v>
      </c>
      <c r="FH73" s="166">
        <v>81</v>
      </c>
      <c r="FI73" s="166">
        <v>107.11111111111111</v>
      </c>
      <c r="FJ73" s="166">
        <v>114.66111111111111</v>
      </c>
      <c r="FK73" s="166">
        <v>118.3</v>
      </c>
      <c r="FL73" s="166">
        <v>95.183333333333337</v>
      </c>
      <c r="FM73" s="166">
        <v>0</v>
      </c>
      <c r="FN73" s="166">
        <v>0</v>
      </c>
      <c r="FO73" s="166">
        <v>0</v>
      </c>
      <c r="FP73" s="166">
        <v>498.25555555555559</v>
      </c>
      <c r="FQ73" s="166">
        <v>232.96111111111111</v>
      </c>
      <c r="FR73" s="166">
        <v>95.183333333333337</v>
      </c>
      <c r="FS73" s="166">
        <v>805.27777777777783</v>
      </c>
      <c r="FT73" s="166">
        <v>826.40000000000009</v>
      </c>
      <c r="FU73" s="166">
        <v>900.46111111111122</v>
      </c>
      <c r="FV73" s="166">
        <v>97.188888888888883</v>
      </c>
      <c r="FW73" s="166">
        <v>4.8499999999999996</v>
      </c>
      <c r="FX73" s="166">
        <v>102.03888888888888</v>
      </c>
      <c r="FY73" s="166">
        <v>905.31111111111125</v>
      </c>
      <c r="FZ73" s="165">
        <v>25</v>
      </c>
      <c r="GA73" s="165">
        <v>50</v>
      </c>
      <c r="GB73" s="165">
        <v>75</v>
      </c>
      <c r="GC73" s="165">
        <v>75</v>
      </c>
      <c r="GD73" s="165">
        <v>75</v>
      </c>
      <c r="GE73" s="165">
        <v>80</v>
      </c>
      <c r="GF73" s="165">
        <v>81</v>
      </c>
      <c r="GG73" s="165">
        <v>82</v>
      </c>
      <c r="GH73" s="165">
        <v>108</v>
      </c>
      <c r="GI73" s="165">
        <v>116</v>
      </c>
      <c r="GJ73" s="165">
        <v>120</v>
      </c>
      <c r="GK73" s="165">
        <v>97</v>
      </c>
      <c r="GL73" s="165">
        <v>0</v>
      </c>
      <c r="GM73" s="165">
        <v>0</v>
      </c>
      <c r="GN73" s="165">
        <v>0</v>
      </c>
      <c r="GO73" s="165">
        <v>501</v>
      </c>
      <c r="GP73" s="165">
        <v>236</v>
      </c>
      <c r="GQ73" s="165">
        <v>97</v>
      </c>
      <c r="GR73" s="165">
        <v>812</v>
      </c>
      <c r="GS73" s="165">
        <v>834</v>
      </c>
      <c r="GT73" s="165">
        <v>909</v>
      </c>
      <c r="GU73" s="165">
        <v>0</v>
      </c>
      <c r="GV73" s="165">
        <v>148</v>
      </c>
      <c r="GW73" s="165">
        <v>100</v>
      </c>
      <c r="GX73" s="165">
        <v>4</v>
      </c>
      <c r="GY73" s="165">
        <v>104</v>
      </c>
      <c r="GZ73" s="165">
        <v>913</v>
      </c>
      <c r="HA73" s="165">
        <v>22</v>
      </c>
      <c r="HB73" s="166">
        <v>52.162000000000006</v>
      </c>
      <c r="HC73" s="166">
        <v>48.162000000000006</v>
      </c>
      <c r="HD73" s="166">
        <v>22.5</v>
      </c>
      <c r="HE73" s="166">
        <v>21.231999999999999</v>
      </c>
      <c r="HF73" s="166"/>
      <c r="HG73" s="166">
        <v>52.411999999999999</v>
      </c>
      <c r="HH73" s="166">
        <v>0</v>
      </c>
      <c r="HI73" s="166">
        <v>111</v>
      </c>
      <c r="HJ73" s="166">
        <v>111</v>
      </c>
      <c r="HK73" s="166">
        <v>108</v>
      </c>
      <c r="HL73" s="166">
        <v>3</v>
      </c>
      <c r="HM73" s="166">
        <v>23</v>
      </c>
      <c r="HN73" s="166">
        <v>74</v>
      </c>
      <c r="HO73" s="166">
        <v>837</v>
      </c>
      <c r="HP73" s="166">
        <v>500</v>
      </c>
      <c r="HQ73" s="166">
        <v>238</v>
      </c>
      <c r="HR73" s="166">
        <v>99</v>
      </c>
      <c r="HS73" s="166">
        <v>911</v>
      </c>
      <c r="HT73" s="166">
        <f>FY26_FE_Data_April15[[#This Row],[Oct 1, 2026 (CDC) - K]]+FY26_FE_Data_April15[[#This Row],[Oct 1, 2026 (CDC) - Grades 1-6]]+FY26_FE_Data_April15[[#This Row],[Oct 1, 2026 (CDC) - Grades 7-8]]</f>
        <v>812</v>
      </c>
      <c r="HU73" s="166">
        <v>0</v>
      </c>
      <c r="HW73" s="170"/>
      <c r="HY73" s="170"/>
    </row>
    <row r="74" spans="1:233" ht="39">
      <c r="A74" s="158" t="s">
        <v>434</v>
      </c>
      <c r="B74" s="159" t="s">
        <v>435</v>
      </c>
      <c r="C74" s="160" t="s">
        <v>436</v>
      </c>
      <c r="D74" s="160" t="s">
        <v>139</v>
      </c>
      <c r="E74" s="159" t="s">
        <v>784</v>
      </c>
      <c r="F74" s="159" t="s">
        <v>784</v>
      </c>
      <c r="G74" s="159"/>
      <c r="H74" s="161">
        <v>17.027777777777779</v>
      </c>
      <c r="I74" s="161">
        <v>0</v>
      </c>
      <c r="J74" s="161">
        <v>17.027777777777779</v>
      </c>
      <c r="K74" s="162">
        <v>0</v>
      </c>
      <c r="L74" s="162">
        <v>0</v>
      </c>
      <c r="M74" s="162">
        <v>63</v>
      </c>
      <c r="N74" s="162">
        <v>155</v>
      </c>
      <c r="O74" s="162">
        <v>218</v>
      </c>
      <c r="P74" s="162">
        <v>218</v>
      </c>
      <c r="Q74" s="162">
        <v>63</v>
      </c>
      <c r="R74" s="162">
        <v>0</v>
      </c>
      <c r="S74" s="160">
        <v>0</v>
      </c>
      <c r="T74" s="160">
        <v>0</v>
      </c>
      <c r="U74" s="160">
        <v>0</v>
      </c>
      <c r="V74" s="160">
        <v>0</v>
      </c>
      <c r="W74" s="160">
        <v>0</v>
      </c>
      <c r="X74" s="160">
        <v>0</v>
      </c>
      <c r="Y74" s="160">
        <v>0</v>
      </c>
      <c r="Z74" s="160">
        <v>30.488888888888887</v>
      </c>
      <c r="AA74" s="160">
        <v>32</v>
      </c>
      <c r="AB74" s="160">
        <v>50.605555555555554</v>
      </c>
      <c r="AC74" s="160">
        <v>32.666666666666664</v>
      </c>
      <c r="AD74" s="160">
        <v>32</v>
      </c>
      <c r="AE74" s="160">
        <v>34.344444444444441</v>
      </c>
      <c r="AF74" s="160">
        <v>0</v>
      </c>
      <c r="AG74" s="160">
        <v>62.488888888888887</v>
      </c>
      <c r="AH74" s="160">
        <v>149.61666666666665</v>
      </c>
      <c r="AI74" s="160">
        <v>62.488888888888887</v>
      </c>
      <c r="AJ74" s="160">
        <v>212.10555555555553</v>
      </c>
      <c r="AK74" s="160">
        <v>212.10555555555553</v>
      </c>
      <c r="AL74" s="161">
        <v>20.31111111111111</v>
      </c>
      <c r="AM74" s="161">
        <v>0</v>
      </c>
      <c r="AN74" s="161">
        <v>20.31111111111111</v>
      </c>
      <c r="AO74" s="161">
        <v>212.10555555555553</v>
      </c>
      <c r="AP74" s="162">
        <v>0</v>
      </c>
      <c r="AQ74" s="168">
        <v>0</v>
      </c>
      <c r="AR74" s="160">
        <v>0</v>
      </c>
      <c r="AS74" s="160">
        <v>0</v>
      </c>
      <c r="AT74" s="160">
        <v>0</v>
      </c>
      <c r="AU74" s="160">
        <v>0</v>
      </c>
      <c r="AV74" s="160">
        <v>0</v>
      </c>
      <c r="AW74" s="160">
        <v>28</v>
      </c>
      <c r="AX74" s="160">
        <v>29</v>
      </c>
      <c r="AY74" s="160">
        <v>43</v>
      </c>
      <c r="AZ74" s="160">
        <v>38</v>
      </c>
      <c r="BA74" s="160">
        <v>30</v>
      </c>
      <c r="BB74" s="160">
        <v>31</v>
      </c>
      <c r="BC74" s="160">
        <v>0</v>
      </c>
      <c r="BD74" s="160">
        <v>57</v>
      </c>
      <c r="BE74" s="160">
        <v>142</v>
      </c>
      <c r="BF74" s="160">
        <v>57</v>
      </c>
      <c r="BG74" s="160">
        <v>199</v>
      </c>
      <c r="BH74" s="160">
        <v>199</v>
      </c>
      <c r="BI74" s="160">
        <v>0</v>
      </c>
      <c r="BJ74" s="160">
        <v>0</v>
      </c>
      <c r="BK74" s="160">
        <v>0</v>
      </c>
      <c r="BL74" s="160">
        <v>57</v>
      </c>
      <c r="BM74" s="160">
        <v>25</v>
      </c>
      <c r="BN74" s="162">
        <v>0</v>
      </c>
      <c r="BO74" s="162">
        <v>25</v>
      </c>
      <c r="BP74" s="162">
        <v>4</v>
      </c>
      <c r="BQ74" s="163">
        <v>9.2910702113156107E-2</v>
      </c>
      <c r="BR74" s="164">
        <v>13.45</v>
      </c>
      <c r="BS74" s="164">
        <v>11.94</v>
      </c>
      <c r="BT74" s="164">
        <v>11.94</v>
      </c>
      <c r="BU74" s="164">
        <v>13.45</v>
      </c>
      <c r="BV74" s="165">
        <v>0</v>
      </c>
      <c r="BW74" s="165">
        <v>0</v>
      </c>
      <c r="BX74" s="166">
        <v>0</v>
      </c>
      <c r="BY74" s="166">
        <v>0</v>
      </c>
      <c r="BZ74" s="166">
        <v>0</v>
      </c>
      <c r="CA74" s="166">
        <v>0</v>
      </c>
      <c r="CB74" s="166">
        <v>0</v>
      </c>
      <c r="CC74" s="166">
        <v>0</v>
      </c>
      <c r="CD74" s="166">
        <v>0</v>
      </c>
      <c r="CE74" s="166">
        <v>0</v>
      </c>
      <c r="CF74" s="166">
        <v>0</v>
      </c>
      <c r="CG74" s="166">
        <v>0</v>
      </c>
      <c r="CH74" s="166">
        <v>27.65</v>
      </c>
      <c r="CI74" s="166">
        <v>29.022222222222222</v>
      </c>
      <c r="CJ74" s="166">
        <v>42.605555555555554</v>
      </c>
      <c r="CK74" s="166">
        <v>35.905555555555559</v>
      </c>
      <c r="CL74" s="166">
        <v>29.205555555555556</v>
      </c>
      <c r="CM74" s="166">
        <v>29.333333333333332</v>
      </c>
      <c r="CN74" s="166">
        <v>0</v>
      </c>
      <c r="CO74" s="166">
        <v>56.672222222222217</v>
      </c>
      <c r="CP74" s="166">
        <v>137.05000000000001</v>
      </c>
      <c r="CQ74" s="166">
        <v>56.672222222222217</v>
      </c>
      <c r="CR74" s="166">
        <v>193.72222222222223</v>
      </c>
      <c r="CS74" s="166">
        <v>193.72222222222223</v>
      </c>
      <c r="CT74" s="166">
        <v>25.1</v>
      </c>
      <c r="CU74" s="166">
        <v>0</v>
      </c>
      <c r="CV74" s="166">
        <v>25.1</v>
      </c>
      <c r="CW74" s="166">
        <v>193.72222222222223</v>
      </c>
      <c r="CX74" s="166">
        <v>0</v>
      </c>
      <c r="CY74" s="166">
        <v>0</v>
      </c>
      <c r="CZ74" s="165">
        <v>0</v>
      </c>
      <c r="DA74" s="165">
        <v>0</v>
      </c>
      <c r="DB74" s="165">
        <v>0</v>
      </c>
      <c r="DC74" s="165">
        <v>0</v>
      </c>
      <c r="DD74" s="165">
        <v>0</v>
      </c>
      <c r="DE74" s="165">
        <v>0</v>
      </c>
      <c r="DF74" s="165">
        <v>0</v>
      </c>
      <c r="DG74" s="165">
        <v>0</v>
      </c>
      <c r="DH74" s="165">
        <v>24</v>
      </c>
      <c r="DI74" s="165">
        <v>27</v>
      </c>
      <c r="DJ74" s="165">
        <v>48</v>
      </c>
      <c r="DK74" s="165">
        <v>34</v>
      </c>
      <c r="DL74" s="165">
        <v>36</v>
      </c>
      <c r="DM74" s="165">
        <v>28</v>
      </c>
      <c r="DN74" s="165">
        <v>0</v>
      </c>
      <c r="DO74" s="165">
        <v>51</v>
      </c>
      <c r="DP74" s="165">
        <v>146</v>
      </c>
      <c r="DQ74" s="165">
        <v>51</v>
      </c>
      <c r="DR74" s="165">
        <v>197</v>
      </c>
      <c r="DS74" s="165">
        <v>197</v>
      </c>
      <c r="DT74" s="165">
        <v>0</v>
      </c>
      <c r="DU74" s="165">
        <v>58</v>
      </c>
      <c r="DV74" s="165">
        <v>32</v>
      </c>
      <c r="DW74" s="165">
        <v>0</v>
      </c>
      <c r="DX74" s="165">
        <v>32</v>
      </c>
      <c r="DY74" s="165">
        <v>197</v>
      </c>
      <c r="DZ74" s="165">
        <v>7</v>
      </c>
      <c r="EA74" s="166">
        <v>13.200000000000001</v>
      </c>
      <c r="EB74" s="166">
        <v>11.700000000000001</v>
      </c>
      <c r="EC74" s="166">
        <v>0</v>
      </c>
      <c r="ED74" s="166">
        <v>9.8800000000000008</v>
      </c>
      <c r="EE74" s="166">
        <v>0</v>
      </c>
      <c r="EF74" s="166">
        <v>13.200000000000001</v>
      </c>
      <c r="EG74" s="167">
        <v>9.6153846153846145E-2</v>
      </c>
      <c r="EH74" s="165"/>
      <c r="EI74" s="165">
        <v>0</v>
      </c>
      <c r="EJ74" s="165">
        <v>197</v>
      </c>
      <c r="EK74" s="165">
        <v>0</v>
      </c>
      <c r="EL74" s="165">
        <v>48</v>
      </c>
      <c r="EM74" s="165">
        <v>149</v>
      </c>
      <c r="EN74" s="165">
        <v>197</v>
      </c>
      <c r="EO74" s="165">
        <v>0</v>
      </c>
      <c r="EP74" s="165">
        <v>30</v>
      </c>
      <c r="EQ74" s="165">
        <v>30</v>
      </c>
      <c r="ER74" s="165">
        <v>30</v>
      </c>
      <c r="ES74" s="165">
        <v>0</v>
      </c>
      <c r="ET74" s="165">
        <v>0</v>
      </c>
      <c r="EU74" s="166">
        <v>0.5</v>
      </c>
      <c r="EV74" s="166">
        <v>0</v>
      </c>
      <c r="EW74" s="166">
        <v>0.9</v>
      </c>
      <c r="EX74" s="166">
        <v>0</v>
      </c>
      <c r="EY74" s="166">
        <v>0</v>
      </c>
      <c r="EZ74" s="166">
        <v>1.4</v>
      </c>
      <c r="FA74" s="166">
        <v>0</v>
      </c>
      <c r="FB74" s="166">
        <v>0</v>
      </c>
      <c r="FC74" s="166">
        <v>0</v>
      </c>
      <c r="FD74" s="166">
        <v>0</v>
      </c>
      <c r="FE74" s="166">
        <v>0</v>
      </c>
      <c r="FF74" s="166">
        <v>0</v>
      </c>
      <c r="FG74" s="166">
        <v>0</v>
      </c>
      <c r="FH74" s="166">
        <v>0</v>
      </c>
      <c r="FI74" s="166">
        <v>0</v>
      </c>
      <c r="FJ74" s="166">
        <v>22.816666666666666</v>
      </c>
      <c r="FK74" s="166">
        <v>26.277777777777779</v>
      </c>
      <c r="FL74" s="166">
        <v>44.444444444444443</v>
      </c>
      <c r="FM74" s="166">
        <v>33.466666666666669</v>
      </c>
      <c r="FN74" s="166">
        <v>35.505555555555553</v>
      </c>
      <c r="FO74" s="166">
        <v>27.022222222222222</v>
      </c>
      <c r="FP74" s="166">
        <v>0</v>
      </c>
      <c r="FQ74" s="166">
        <v>49.094444444444449</v>
      </c>
      <c r="FR74" s="166">
        <v>140.43888888888887</v>
      </c>
      <c r="FS74" s="166">
        <v>49.094444444444449</v>
      </c>
      <c r="FT74" s="166">
        <v>189.53333333333333</v>
      </c>
      <c r="FU74" s="166">
        <v>189.53333333333333</v>
      </c>
      <c r="FV74" s="166">
        <v>29.655555555555555</v>
      </c>
      <c r="FW74" s="166">
        <v>0</v>
      </c>
      <c r="FX74" s="166">
        <v>29.655555555555555</v>
      </c>
      <c r="FY74" s="166">
        <v>189.53333333333333</v>
      </c>
      <c r="FZ74" s="165">
        <v>0</v>
      </c>
      <c r="GA74" s="165">
        <v>0</v>
      </c>
      <c r="GB74" s="165">
        <v>0</v>
      </c>
      <c r="GC74" s="165">
        <v>0</v>
      </c>
      <c r="GD74" s="165">
        <v>0</v>
      </c>
      <c r="GE74" s="165">
        <v>0</v>
      </c>
      <c r="GF74" s="165">
        <v>0</v>
      </c>
      <c r="GG74" s="165">
        <v>0</v>
      </c>
      <c r="GH74" s="165">
        <v>0</v>
      </c>
      <c r="GI74" s="165">
        <v>24</v>
      </c>
      <c r="GJ74" s="165">
        <v>25</v>
      </c>
      <c r="GK74" s="165">
        <v>38</v>
      </c>
      <c r="GL74" s="165">
        <v>42</v>
      </c>
      <c r="GM74" s="165">
        <v>33</v>
      </c>
      <c r="GN74" s="165">
        <v>32</v>
      </c>
      <c r="GO74" s="165">
        <v>0</v>
      </c>
      <c r="GP74" s="165">
        <v>49</v>
      </c>
      <c r="GQ74" s="165">
        <v>145</v>
      </c>
      <c r="GR74" s="165">
        <v>49</v>
      </c>
      <c r="GS74" s="165">
        <v>194</v>
      </c>
      <c r="GT74" s="165">
        <v>194</v>
      </c>
      <c r="GU74" s="165">
        <v>0</v>
      </c>
      <c r="GV74" s="165">
        <v>58</v>
      </c>
      <c r="GW74" s="165">
        <v>22</v>
      </c>
      <c r="GX74" s="165">
        <v>0</v>
      </c>
      <c r="GY74" s="165">
        <v>22</v>
      </c>
      <c r="GZ74" s="165">
        <v>194</v>
      </c>
      <c r="HA74" s="165">
        <v>4</v>
      </c>
      <c r="HB74" s="166">
        <v>13.360000000000001</v>
      </c>
      <c r="HC74" s="166">
        <v>11.860000000000001</v>
      </c>
      <c r="HD74" s="166">
        <v>0</v>
      </c>
      <c r="HE74" s="166">
        <v>10.068</v>
      </c>
      <c r="HF74" s="166"/>
      <c r="HG74" s="166">
        <v>13.36</v>
      </c>
      <c r="HH74" s="166">
        <v>0</v>
      </c>
      <c r="HI74" s="166">
        <v>21</v>
      </c>
      <c r="HJ74" s="166">
        <v>21</v>
      </c>
      <c r="HK74" s="166">
        <v>21</v>
      </c>
      <c r="HL74" s="166">
        <v>0</v>
      </c>
      <c r="HM74" s="166">
        <v>0</v>
      </c>
      <c r="HN74" s="166">
        <v>0</v>
      </c>
      <c r="HO74" s="166">
        <v>196</v>
      </c>
      <c r="HP74" s="166">
        <v>0</v>
      </c>
      <c r="HQ74" s="166">
        <v>49</v>
      </c>
      <c r="HR74" s="166">
        <v>147</v>
      </c>
      <c r="HS74" s="166">
        <v>196</v>
      </c>
      <c r="HT74" s="166">
        <f>FY26_FE_Data_April15[[#This Row],[Oct 1, 2026 (CDC) - K]]+FY26_FE_Data_April15[[#This Row],[Oct 1, 2026 (CDC) - Grades 1-6]]+FY26_FE_Data_April15[[#This Row],[Oct 1, 2026 (CDC) - Grades 7-8]]</f>
        <v>49</v>
      </c>
      <c r="HU74" s="166">
        <v>0</v>
      </c>
      <c r="HW74" s="170"/>
      <c r="HY74" s="170"/>
    </row>
    <row r="75" spans="1:233">
      <c r="A75" s="158" t="s">
        <v>437</v>
      </c>
      <c r="B75" s="159" t="s">
        <v>438</v>
      </c>
      <c r="C75" s="160" t="s">
        <v>439</v>
      </c>
      <c r="D75" s="160" t="s">
        <v>139</v>
      </c>
      <c r="E75" s="159" t="s">
        <v>784</v>
      </c>
      <c r="F75" s="159" t="s">
        <v>784</v>
      </c>
      <c r="G75" s="159"/>
      <c r="H75" s="161">
        <v>52.216666666666669</v>
      </c>
      <c r="I75" s="161">
        <v>1.1888888888888889</v>
      </c>
      <c r="J75" s="161">
        <v>53.405555555555559</v>
      </c>
      <c r="K75" s="162">
        <v>65</v>
      </c>
      <c r="L75" s="162">
        <v>414</v>
      </c>
      <c r="M75" s="162">
        <v>89</v>
      </c>
      <c r="N75" s="162">
        <v>0</v>
      </c>
      <c r="O75" s="162">
        <v>568</v>
      </c>
      <c r="P75" s="162">
        <v>503</v>
      </c>
      <c r="Q75" s="162">
        <v>568</v>
      </c>
      <c r="R75" s="162">
        <v>2</v>
      </c>
      <c r="S75" s="160">
        <v>63.744444444444447</v>
      </c>
      <c r="T75" s="160">
        <v>67.95</v>
      </c>
      <c r="U75" s="160">
        <v>72.694444444444443</v>
      </c>
      <c r="V75" s="160">
        <v>83.211111111111109</v>
      </c>
      <c r="W75" s="160">
        <v>75.233333333333334</v>
      </c>
      <c r="X75" s="160">
        <v>60.733333333333334</v>
      </c>
      <c r="Y75" s="160">
        <v>55.694444444444443</v>
      </c>
      <c r="Z75" s="160">
        <v>49.511111111111113</v>
      </c>
      <c r="AA75" s="160">
        <v>37.444444444444443</v>
      </c>
      <c r="AB75" s="160">
        <v>0</v>
      </c>
      <c r="AC75" s="160">
        <v>0</v>
      </c>
      <c r="AD75" s="160">
        <v>0</v>
      </c>
      <c r="AE75" s="160">
        <v>0</v>
      </c>
      <c r="AF75" s="160">
        <v>415.51666666666671</v>
      </c>
      <c r="AG75" s="160">
        <v>86.955555555555549</v>
      </c>
      <c r="AH75" s="160">
        <v>0</v>
      </c>
      <c r="AI75" s="160">
        <v>566.2166666666667</v>
      </c>
      <c r="AJ75" s="160">
        <v>502.47222222222229</v>
      </c>
      <c r="AK75" s="160">
        <v>566.2166666666667</v>
      </c>
      <c r="AL75" s="161">
        <v>62.255555555555553</v>
      </c>
      <c r="AM75" s="161">
        <v>2.1388888888888888</v>
      </c>
      <c r="AN75" s="161">
        <v>64.394444444444446</v>
      </c>
      <c r="AO75" s="161">
        <v>568.35555555555561</v>
      </c>
      <c r="AP75" s="162">
        <v>53</v>
      </c>
      <c r="AQ75" s="168">
        <v>54</v>
      </c>
      <c r="AR75" s="160">
        <v>63</v>
      </c>
      <c r="AS75" s="160">
        <v>66</v>
      </c>
      <c r="AT75" s="160">
        <v>81</v>
      </c>
      <c r="AU75" s="160">
        <v>74</v>
      </c>
      <c r="AV75" s="160">
        <v>51</v>
      </c>
      <c r="AW75" s="160">
        <v>54</v>
      </c>
      <c r="AX75" s="160">
        <v>46</v>
      </c>
      <c r="AY75" s="160">
        <v>0</v>
      </c>
      <c r="AZ75" s="160">
        <v>0</v>
      </c>
      <c r="BA75" s="160">
        <v>0</v>
      </c>
      <c r="BB75" s="160">
        <v>0</v>
      </c>
      <c r="BC75" s="160">
        <v>389</v>
      </c>
      <c r="BD75" s="160">
        <v>100</v>
      </c>
      <c r="BE75" s="160">
        <v>0</v>
      </c>
      <c r="BF75" s="160">
        <v>542</v>
      </c>
      <c r="BG75" s="160">
        <v>489</v>
      </c>
      <c r="BH75" s="160">
        <v>542</v>
      </c>
      <c r="BI75" s="160">
        <v>42</v>
      </c>
      <c r="BJ75" s="160">
        <v>11</v>
      </c>
      <c r="BK75" s="160">
        <v>0</v>
      </c>
      <c r="BL75" s="160">
        <v>71</v>
      </c>
      <c r="BM75" s="160">
        <v>65</v>
      </c>
      <c r="BN75" s="162">
        <v>3</v>
      </c>
      <c r="BO75" s="162">
        <v>68</v>
      </c>
      <c r="BP75" s="162">
        <v>35</v>
      </c>
      <c r="BQ75" s="163">
        <v>6.4062500000000078E-2</v>
      </c>
      <c r="BR75" s="164">
        <v>36.5</v>
      </c>
      <c r="BS75" s="164">
        <v>35.5</v>
      </c>
      <c r="BT75" s="164">
        <v>34.5</v>
      </c>
      <c r="BU75" s="164">
        <v>38</v>
      </c>
      <c r="BV75" s="165">
        <v>0</v>
      </c>
      <c r="BW75" s="165">
        <v>0</v>
      </c>
      <c r="BX75" s="166">
        <v>0</v>
      </c>
      <c r="BY75" s="166">
        <v>15.033333000000001</v>
      </c>
      <c r="BZ75" s="166">
        <v>42.233333000000002</v>
      </c>
      <c r="CA75" s="166">
        <v>57.266666666666666</v>
      </c>
      <c r="CB75" s="166">
        <v>52.81111111111111</v>
      </c>
      <c r="CC75" s="166">
        <v>61.56666666666667</v>
      </c>
      <c r="CD75" s="166">
        <v>66.25</v>
      </c>
      <c r="CE75" s="166">
        <v>79.655555555555551</v>
      </c>
      <c r="CF75" s="166">
        <v>72.86666666666666</v>
      </c>
      <c r="CG75" s="166">
        <v>52.555555555555557</v>
      </c>
      <c r="CH75" s="166">
        <v>53.56666666666667</v>
      </c>
      <c r="CI75" s="166">
        <v>45.116666666666667</v>
      </c>
      <c r="CJ75" s="166">
        <v>0</v>
      </c>
      <c r="CK75" s="166">
        <v>0</v>
      </c>
      <c r="CL75" s="166">
        <v>0</v>
      </c>
      <c r="CM75" s="166">
        <v>0</v>
      </c>
      <c r="CN75" s="166">
        <v>385.70555555555558</v>
      </c>
      <c r="CO75" s="166">
        <v>98.683333333333337</v>
      </c>
      <c r="CP75" s="166">
        <v>0</v>
      </c>
      <c r="CQ75" s="166">
        <v>541.65555555555557</v>
      </c>
      <c r="CR75" s="166">
        <v>484.38888888888891</v>
      </c>
      <c r="CS75" s="166">
        <v>541.65555555555557</v>
      </c>
      <c r="CT75" s="166">
        <v>62.794444444444402</v>
      </c>
      <c r="CU75" s="166">
        <v>3</v>
      </c>
      <c r="CV75" s="166">
        <v>65.794444444444395</v>
      </c>
      <c r="CW75" s="166">
        <v>544.65555555555557</v>
      </c>
      <c r="CX75" s="166">
        <v>0</v>
      </c>
      <c r="CY75" s="166">
        <v>62</v>
      </c>
      <c r="CZ75" s="165">
        <v>7</v>
      </c>
      <c r="DA75" s="165">
        <v>69</v>
      </c>
      <c r="DB75" s="165">
        <v>72</v>
      </c>
      <c r="DC75" s="165">
        <v>66</v>
      </c>
      <c r="DD75" s="165">
        <v>66</v>
      </c>
      <c r="DE75" s="165">
        <v>72</v>
      </c>
      <c r="DF75" s="165">
        <v>83</v>
      </c>
      <c r="DG75" s="165">
        <v>71</v>
      </c>
      <c r="DH75" s="165">
        <v>51</v>
      </c>
      <c r="DI75" s="165">
        <v>54</v>
      </c>
      <c r="DJ75" s="165">
        <v>0</v>
      </c>
      <c r="DK75" s="165">
        <v>0</v>
      </c>
      <c r="DL75" s="165">
        <v>0</v>
      </c>
      <c r="DM75" s="165">
        <v>0</v>
      </c>
      <c r="DN75" s="165">
        <v>430</v>
      </c>
      <c r="DO75" s="165">
        <v>105</v>
      </c>
      <c r="DP75" s="165">
        <v>0</v>
      </c>
      <c r="DQ75" s="165">
        <v>604</v>
      </c>
      <c r="DR75" s="165">
        <v>535</v>
      </c>
      <c r="DS75" s="165">
        <v>604</v>
      </c>
      <c r="DT75" s="165">
        <v>0</v>
      </c>
      <c r="DU75" s="165">
        <v>106</v>
      </c>
      <c r="DV75" s="165">
        <v>67</v>
      </c>
      <c r="DW75" s="165">
        <v>1</v>
      </c>
      <c r="DX75" s="165">
        <v>68</v>
      </c>
      <c r="DY75" s="165">
        <v>605</v>
      </c>
      <c r="DZ75" s="165">
        <v>74</v>
      </c>
      <c r="EA75" s="166">
        <v>41.155999999999999</v>
      </c>
      <c r="EB75" s="166">
        <v>39.155999999999999</v>
      </c>
      <c r="EC75" s="166">
        <v>23.7</v>
      </c>
      <c r="ED75" s="166">
        <v>11.3</v>
      </c>
      <c r="EE75" s="166">
        <v>0</v>
      </c>
      <c r="EF75" s="166">
        <v>42.155999999999999</v>
      </c>
      <c r="EG75" s="167">
        <v>5.8506944444444542E-2</v>
      </c>
      <c r="EH75" s="165"/>
      <c r="EI75" s="165">
        <v>70</v>
      </c>
      <c r="EJ75" s="165">
        <v>530</v>
      </c>
      <c r="EK75" s="165">
        <v>423</v>
      </c>
      <c r="EL75" s="165">
        <v>107</v>
      </c>
      <c r="EM75" s="165">
        <v>0</v>
      </c>
      <c r="EN75" s="165">
        <v>600</v>
      </c>
      <c r="EO75" s="165">
        <v>0</v>
      </c>
      <c r="EP75" s="165">
        <v>66</v>
      </c>
      <c r="EQ75" s="165">
        <v>66</v>
      </c>
      <c r="ER75" s="165">
        <v>65</v>
      </c>
      <c r="ES75" s="165">
        <v>1</v>
      </c>
      <c r="ET75" s="165">
        <v>2</v>
      </c>
      <c r="EU75" s="166">
        <v>10.733000000000001</v>
      </c>
      <c r="EV75" s="166">
        <v>1.2050000000000001</v>
      </c>
      <c r="EW75" s="166">
        <v>2.4550000000000001</v>
      </c>
      <c r="EX75" s="166">
        <v>0</v>
      </c>
      <c r="EY75" s="166">
        <v>5.0659999999999998</v>
      </c>
      <c r="EZ75" s="166">
        <v>19.459</v>
      </c>
      <c r="FA75" s="166">
        <v>6</v>
      </c>
      <c r="FB75" s="166">
        <v>63.95</v>
      </c>
      <c r="FC75" s="166">
        <v>69.95</v>
      </c>
      <c r="FD75" s="166">
        <v>73.211111111111109</v>
      </c>
      <c r="FE75" s="166">
        <v>65.38333333333334</v>
      </c>
      <c r="FF75" s="166">
        <v>65.561111111111117</v>
      </c>
      <c r="FG75" s="166">
        <v>72.344444444444449</v>
      </c>
      <c r="FH75" s="166">
        <v>81.411111111111111</v>
      </c>
      <c r="FI75" s="166">
        <v>68.95</v>
      </c>
      <c r="FJ75" s="166">
        <v>50.522222222222226</v>
      </c>
      <c r="FK75" s="166">
        <v>53.022222222222226</v>
      </c>
      <c r="FL75" s="166">
        <v>0</v>
      </c>
      <c r="FM75" s="166">
        <v>0</v>
      </c>
      <c r="FN75" s="166">
        <v>0</v>
      </c>
      <c r="FO75" s="166">
        <v>0</v>
      </c>
      <c r="FP75" s="166">
        <v>426.86111111111109</v>
      </c>
      <c r="FQ75" s="166">
        <v>103.54444444444445</v>
      </c>
      <c r="FR75" s="166">
        <v>0</v>
      </c>
      <c r="FS75" s="166">
        <v>600.3555555555555</v>
      </c>
      <c r="FT75" s="166">
        <v>530.40555555555557</v>
      </c>
      <c r="FU75" s="166">
        <v>600.3555555555555</v>
      </c>
      <c r="FV75" s="166">
        <v>64.05</v>
      </c>
      <c r="FW75" s="166">
        <v>1</v>
      </c>
      <c r="FX75" s="166">
        <v>65.05</v>
      </c>
      <c r="FY75" s="166">
        <v>601.3555555555555</v>
      </c>
      <c r="FZ75" s="165">
        <v>0</v>
      </c>
      <c r="GA75" s="165">
        <v>68</v>
      </c>
      <c r="GB75" s="165">
        <v>68</v>
      </c>
      <c r="GC75" s="165">
        <v>79</v>
      </c>
      <c r="GD75" s="165">
        <v>78</v>
      </c>
      <c r="GE75" s="165">
        <v>73</v>
      </c>
      <c r="GF75" s="165">
        <v>68</v>
      </c>
      <c r="GG75" s="165">
        <v>71</v>
      </c>
      <c r="GH75" s="165">
        <v>71</v>
      </c>
      <c r="GI75" s="165">
        <v>57</v>
      </c>
      <c r="GJ75" s="165">
        <v>47</v>
      </c>
      <c r="GK75" s="165">
        <v>0</v>
      </c>
      <c r="GL75" s="165">
        <v>0</v>
      </c>
      <c r="GM75" s="165">
        <v>0</v>
      </c>
      <c r="GN75" s="165">
        <v>0</v>
      </c>
      <c r="GO75" s="165">
        <v>440</v>
      </c>
      <c r="GP75" s="165">
        <v>104</v>
      </c>
      <c r="GQ75" s="165">
        <v>0</v>
      </c>
      <c r="GR75" s="165">
        <v>612</v>
      </c>
      <c r="GS75" s="165">
        <v>544</v>
      </c>
      <c r="GT75" s="165">
        <v>612</v>
      </c>
      <c r="GU75" s="165">
        <v>0</v>
      </c>
      <c r="GV75" s="165">
        <v>100</v>
      </c>
      <c r="GW75" s="165">
        <v>64</v>
      </c>
      <c r="GX75" s="165">
        <v>0</v>
      </c>
      <c r="GY75" s="165">
        <v>64</v>
      </c>
      <c r="GZ75" s="165">
        <v>612</v>
      </c>
      <c r="HA75" s="165">
        <v>57</v>
      </c>
      <c r="HB75" s="166">
        <v>43.155999999999999</v>
      </c>
      <c r="HC75" s="166">
        <v>41.155999999999999</v>
      </c>
      <c r="HD75" s="166">
        <v>23.04</v>
      </c>
      <c r="HE75" s="166">
        <v>10.46</v>
      </c>
      <c r="HF75" s="166"/>
      <c r="HG75" s="166">
        <v>44.155999999999999</v>
      </c>
      <c r="HH75" s="166">
        <v>0</v>
      </c>
      <c r="HI75" s="166">
        <v>66</v>
      </c>
      <c r="HJ75" s="166">
        <v>66</v>
      </c>
      <c r="HK75" s="166">
        <v>66</v>
      </c>
      <c r="HL75" s="166">
        <v>0</v>
      </c>
      <c r="HM75" s="166">
        <v>1</v>
      </c>
      <c r="HN75" s="166">
        <v>68</v>
      </c>
      <c r="HO75" s="166">
        <v>544</v>
      </c>
      <c r="HP75" s="166">
        <v>439</v>
      </c>
      <c r="HQ75" s="166">
        <v>105</v>
      </c>
      <c r="HR75" s="166">
        <v>0</v>
      </c>
      <c r="HS75" s="166">
        <v>612</v>
      </c>
      <c r="HT75" s="166">
        <f>FY26_FE_Data_April15[[#This Row],[Oct 1, 2026 (CDC) - K]]+FY26_FE_Data_April15[[#This Row],[Oct 1, 2026 (CDC) - Grades 1-6]]+FY26_FE_Data_April15[[#This Row],[Oct 1, 2026 (CDC) - Grades 7-8]]</f>
        <v>612</v>
      </c>
      <c r="HU75" s="166">
        <v>0</v>
      </c>
      <c r="HW75" s="170"/>
      <c r="HY75" s="170"/>
    </row>
    <row r="76" spans="1:233" ht="65">
      <c r="A76" s="158" t="s">
        <v>440</v>
      </c>
      <c r="B76" s="159" t="s">
        <v>441</v>
      </c>
      <c r="C76" s="160" t="s">
        <v>442</v>
      </c>
      <c r="D76" s="160" t="s">
        <v>139</v>
      </c>
      <c r="E76" s="159" t="s">
        <v>784</v>
      </c>
      <c r="F76" s="159" t="s">
        <v>784</v>
      </c>
      <c r="G76" s="159"/>
      <c r="H76" s="161">
        <v>39.033333333333331</v>
      </c>
      <c r="I76" s="161">
        <v>3</v>
      </c>
      <c r="J76" s="161">
        <v>42.033333333333331</v>
      </c>
      <c r="K76" s="162">
        <v>0</v>
      </c>
      <c r="L76" s="162">
        <v>0</v>
      </c>
      <c r="M76" s="162">
        <v>206</v>
      </c>
      <c r="N76" s="162">
        <v>417</v>
      </c>
      <c r="O76" s="162">
        <v>623</v>
      </c>
      <c r="P76" s="162">
        <v>623</v>
      </c>
      <c r="Q76" s="162">
        <v>206</v>
      </c>
      <c r="R76" s="162">
        <v>2</v>
      </c>
      <c r="S76" s="160">
        <v>0</v>
      </c>
      <c r="T76" s="160">
        <v>0</v>
      </c>
      <c r="U76" s="160">
        <v>0</v>
      </c>
      <c r="V76" s="160">
        <v>0</v>
      </c>
      <c r="W76" s="160">
        <v>0</v>
      </c>
      <c r="X76" s="160">
        <v>0</v>
      </c>
      <c r="Y76" s="160">
        <v>0</v>
      </c>
      <c r="Z76" s="160">
        <v>102.57222222222222</v>
      </c>
      <c r="AA76" s="160">
        <v>104.04444444444445</v>
      </c>
      <c r="AB76" s="160">
        <v>119.85</v>
      </c>
      <c r="AC76" s="160">
        <v>107.91666666666667</v>
      </c>
      <c r="AD76" s="160">
        <v>93.55</v>
      </c>
      <c r="AE76" s="160">
        <v>84.277777777777771</v>
      </c>
      <c r="AF76" s="160">
        <v>0</v>
      </c>
      <c r="AG76" s="160">
        <v>206.61666666666667</v>
      </c>
      <c r="AH76" s="160">
        <v>405.59444444444443</v>
      </c>
      <c r="AI76" s="160">
        <v>206.61666666666667</v>
      </c>
      <c r="AJ76" s="160">
        <v>612.21111111111122</v>
      </c>
      <c r="AK76" s="160">
        <v>612.21111111111122</v>
      </c>
      <c r="AL76" s="161">
        <v>47.055555555555557</v>
      </c>
      <c r="AM76" s="161">
        <v>2</v>
      </c>
      <c r="AN76" s="161">
        <v>49.055555555555557</v>
      </c>
      <c r="AO76" s="161">
        <v>614.21111111111122</v>
      </c>
      <c r="AP76" s="162">
        <v>0</v>
      </c>
      <c r="AQ76" s="168">
        <v>0</v>
      </c>
      <c r="AR76" s="160">
        <v>0</v>
      </c>
      <c r="AS76" s="160">
        <v>0</v>
      </c>
      <c r="AT76" s="160">
        <v>0</v>
      </c>
      <c r="AU76" s="160">
        <v>0</v>
      </c>
      <c r="AV76" s="160">
        <v>0</v>
      </c>
      <c r="AW76" s="160">
        <v>106</v>
      </c>
      <c r="AX76" s="160">
        <v>104</v>
      </c>
      <c r="AY76" s="160">
        <v>125</v>
      </c>
      <c r="AZ76" s="160">
        <v>114</v>
      </c>
      <c r="BA76" s="160">
        <v>97</v>
      </c>
      <c r="BB76" s="160">
        <v>89</v>
      </c>
      <c r="BC76" s="160">
        <v>0</v>
      </c>
      <c r="BD76" s="160">
        <v>210</v>
      </c>
      <c r="BE76" s="160">
        <v>425</v>
      </c>
      <c r="BF76" s="160">
        <v>210</v>
      </c>
      <c r="BG76" s="160">
        <v>635</v>
      </c>
      <c r="BH76" s="160">
        <v>635</v>
      </c>
      <c r="BI76" s="160">
        <v>0</v>
      </c>
      <c r="BJ76" s="160">
        <v>0</v>
      </c>
      <c r="BK76" s="160">
        <v>0</v>
      </c>
      <c r="BL76" s="160">
        <v>44</v>
      </c>
      <c r="BM76" s="160">
        <v>48</v>
      </c>
      <c r="BN76" s="162">
        <v>3</v>
      </c>
      <c r="BO76" s="162">
        <v>51</v>
      </c>
      <c r="BP76" s="162">
        <v>7</v>
      </c>
      <c r="BQ76" s="163">
        <v>6.8605012830149581E-2</v>
      </c>
      <c r="BR76" s="164">
        <v>34.840999999999994</v>
      </c>
      <c r="BS76" s="164">
        <v>34.340999999999994</v>
      </c>
      <c r="BT76" s="164">
        <v>34.340999999999994</v>
      </c>
      <c r="BU76" s="164">
        <v>36.841000000000008</v>
      </c>
      <c r="BV76" s="165">
        <v>0</v>
      </c>
      <c r="BW76" s="165">
        <v>0</v>
      </c>
      <c r="BX76" s="166">
        <v>0</v>
      </c>
      <c r="BY76" s="166">
        <v>0</v>
      </c>
      <c r="BZ76" s="166">
        <v>0</v>
      </c>
      <c r="CA76" s="166">
        <v>0</v>
      </c>
      <c r="CB76" s="166">
        <v>0</v>
      </c>
      <c r="CC76" s="166">
        <v>0</v>
      </c>
      <c r="CD76" s="166">
        <v>0</v>
      </c>
      <c r="CE76" s="166">
        <v>0</v>
      </c>
      <c r="CF76" s="166">
        <v>0</v>
      </c>
      <c r="CG76" s="166">
        <v>0</v>
      </c>
      <c r="CH76" s="166">
        <v>105.47777777777777</v>
      </c>
      <c r="CI76" s="166">
        <v>103.48333333333333</v>
      </c>
      <c r="CJ76" s="166">
        <v>125.08333333333333</v>
      </c>
      <c r="CK76" s="166">
        <v>109.81111111111112</v>
      </c>
      <c r="CL76" s="166">
        <v>94.483333333333334</v>
      </c>
      <c r="CM76" s="166">
        <v>87.2</v>
      </c>
      <c r="CN76" s="166">
        <v>0</v>
      </c>
      <c r="CO76" s="166">
        <v>208.96111111111111</v>
      </c>
      <c r="CP76" s="166">
        <v>416.57777777777778</v>
      </c>
      <c r="CQ76" s="166">
        <v>208.96111111111111</v>
      </c>
      <c r="CR76" s="166">
        <v>625.53888888888889</v>
      </c>
      <c r="CS76" s="166">
        <v>625.53888888888889</v>
      </c>
      <c r="CT76" s="166">
        <v>47.733333333333299</v>
      </c>
      <c r="CU76" s="166">
        <v>2.4666666666666699</v>
      </c>
      <c r="CV76" s="166">
        <v>50.199999999999967</v>
      </c>
      <c r="CW76" s="166">
        <v>628.00555555555559</v>
      </c>
      <c r="CX76" s="166">
        <v>0</v>
      </c>
      <c r="CY76" s="166">
        <v>0</v>
      </c>
      <c r="CZ76" s="165">
        <v>0</v>
      </c>
      <c r="DA76" s="165">
        <v>0</v>
      </c>
      <c r="DB76" s="165">
        <v>0</v>
      </c>
      <c r="DC76" s="165">
        <v>0</v>
      </c>
      <c r="DD76" s="165">
        <v>0</v>
      </c>
      <c r="DE76" s="165">
        <v>0</v>
      </c>
      <c r="DF76" s="165">
        <v>0</v>
      </c>
      <c r="DG76" s="165">
        <v>0</v>
      </c>
      <c r="DH76" s="165">
        <v>114</v>
      </c>
      <c r="DI76" s="165">
        <v>112</v>
      </c>
      <c r="DJ76" s="165">
        <v>124</v>
      </c>
      <c r="DK76" s="165">
        <v>115</v>
      </c>
      <c r="DL76" s="165">
        <v>101</v>
      </c>
      <c r="DM76" s="165">
        <v>88</v>
      </c>
      <c r="DN76" s="165">
        <v>0</v>
      </c>
      <c r="DO76" s="165">
        <v>226</v>
      </c>
      <c r="DP76" s="165">
        <v>428</v>
      </c>
      <c r="DQ76" s="165">
        <v>226</v>
      </c>
      <c r="DR76" s="165">
        <v>654</v>
      </c>
      <c r="DS76" s="165">
        <v>654</v>
      </c>
      <c r="DT76" s="165">
        <v>2</v>
      </c>
      <c r="DU76" s="165">
        <v>52</v>
      </c>
      <c r="DV76" s="165">
        <v>56</v>
      </c>
      <c r="DW76" s="165">
        <v>1</v>
      </c>
      <c r="DX76" s="165">
        <v>57</v>
      </c>
      <c r="DY76" s="165">
        <v>655</v>
      </c>
      <c r="DZ76" s="165">
        <v>2</v>
      </c>
      <c r="EA76" s="166">
        <v>40.986999999999995</v>
      </c>
      <c r="EB76" s="166">
        <v>40.486999999999995</v>
      </c>
      <c r="EC76" s="166">
        <v>0.34</v>
      </c>
      <c r="ED76" s="166">
        <v>36.408000000000001</v>
      </c>
      <c r="EE76" s="166">
        <v>0</v>
      </c>
      <c r="EF76" s="166">
        <v>44.486999999999995</v>
      </c>
      <c r="EG76" s="167">
        <v>7.0462689272468737E-2</v>
      </c>
      <c r="EH76" s="165"/>
      <c r="EI76" s="165">
        <v>0</v>
      </c>
      <c r="EJ76" s="165">
        <v>651</v>
      </c>
      <c r="EK76" s="165">
        <v>0</v>
      </c>
      <c r="EL76" s="165">
        <v>224</v>
      </c>
      <c r="EM76" s="165">
        <v>427</v>
      </c>
      <c r="EN76" s="165">
        <v>651</v>
      </c>
      <c r="EO76" s="165">
        <v>0</v>
      </c>
      <c r="EP76" s="165">
        <v>56</v>
      </c>
      <c r="EQ76" s="165">
        <v>56</v>
      </c>
      <c r="ER76" s="165">
        <v>55</v>
      </c>
      <c r="ES76" s="165">
        <v>1</v>
      </c>
      <c r="ET76" s="165">
        <v>0</v>
      </c>
      <c r="EU76" s="166">
        <v>6</v>
      </c>
      <c r="EV76" s="166">
        <v>1</v>
      </c>
      <c r="EW76" s="166">
        <v>4.75</v>
      </c>
      <c r="EX76" s="166">
        <v>0</v>
      </c>
      <c r="EY76" s="166">
        <v>0</v>
      </c>
      <c r="EZ76" s="166">
        <v>11.75</v>
      </c>
      <c r="FA76" s="166">
        <v>0</v>
      </c>
      <c r="FB76" s="166">
        <v>0</v>
      </c>
      <c r="FC76" s="166">
        <v>0</v>
      </c>
      <c r="FD76" s="166">
        <v>0</v>
      </c>
      <c r="FE76" s="166">
        <v>0</v>
      </c>
      <c r="FF76" s="166">
        <v>0</v>
      </c>
      <c r="FG76" s="166">
        <v>0</v>
      </c>
      <c r="FH76" s="166">
        <v>0</v>
      </c>
      <c r="FI76" s="166">
        <v>0</v>
      </c>
      <c r="FJ76" s="166">
        <v>110.47222222222223</v>
      </c>
      <c r="FK76" s="166">
        <v>110.85</v>
      </c>
      <c r="FL76" s="166">
        <v>122.37222222222222</v>
      </c>
      <c r="FM76" s="166">
        <v>110.91111111111111</v>
      </c>
      <c r="FN76" s="166">
        <v>99.011111111111106</v>
      </c>
      <c r="FO76" s="166">
        <v>87.461111111111109</v>
      </c>
      <c r="FP76" s="166">
        <v>0</v>
      </c>
      <c r="FQ76" s="166">
        <v>221.32222222222222</v>
      </c>
      <c r="FR76" s="166">
        <v>419.75555555555553</v>
      </c>
      <c r="FS76" s="166">
        <v>221.32222222222222</v>
      </c>
      <c r="FT76" s="166">
        <v>641.07777777777778</v>
      </c>
      <c r="FU76" s="166">
        <v>641.07777777777778</v>
      </c>
      <c r="FV76" s="166">
        <v>54.338888888888889</v>
      </c>
      <c r="FW76" s="166">
        <v>1</v>
      </c>
      <c r="FX76" s="166">
        <v>55.338888888888889</v>
      </c>
      <c r="FY76" s="166">
        <v>642.07777777777778</v>
      </c>
      <c r="FZ76" s="165">
        <v>0</v>
      </c>
      <c r="GA76" s="165">
        <v>0</v>
      </c>
      <c r="GB76" s="165">
        <v>0</v>
      </c>
      <c r="GC76" s="165">
        <v>0</v>
      </c>
      <c r="GD76" s="165">
        <v>0</v>
      </c>
      <c r="GE76" s="165">
        <v>0</v>
      </c>
      <c r="GF76" s="165">
        <v>0</v>
      </c>
      <c r="GG76" s="165">
        <v>0</v>
      </c>
      <c r="GH76" s="165">
        <v>0</v>
      </c>
      <c r="GI76" s="165">
        <v>113</v>
      </c>
      <c r="GJ76" s="165">
        <v>113</v>
      </c>
      <c r="GK76" s="165">
        <v>123</v>
      </c>
      <c r="GL76" s="165">
        <v>123</v>
      </c>
      <c r="GM76" s="165">
        <v>105</v>
      </c>
      <c r="GN76" s="165">
        <v>95</v>
      </c>
      <c r="GO76" s="165">
        <v>0</v>
      </c>
      <c r="GP76" s="165">
        <v>226</v>
      </c>
      <c r="GQ76" s="165">
        <v>446</v>
      </c>
      <c r="GR76" s="165">
        <v>226</v>
      </c>
      <c r="GS76" s="165">
        <v>672</v>
      </c>
      <c r="GT76" s="165">
        <v>672</v>
      </c>
      <c r="GU76" s="165">
        <v>5</v>
      </c>
      <c r="GV76" s="165">
        <v>51</v>
      </c>
      <c r="GW76" s="165">
        <v>49</v>
      </c>
      <c r="GX76" s="165">
        <v>1</v>
      </c>
      <c r="GY76" s="165">
        <v>50</v>
      </c>
      <c r="GZ76" s="165">
        <v>673</v>
      </c>
      <c r="HA76" s="165">
        <v>8</v>
      </c>
      <c r="HB76" s="166">
        <v>44.486999999999995</v>
      </c>
      <c r="HC76" s="166">
        <v>43.646999999999991</v>
      </c>
      <c r="HD76" s="166">
        <v>0.34</v>
      </c>
      <c r="HE76" s="166">
        <v>36.902000000000001</v>
      </c>
      <c r="HF76" s="166"/>
      <c r="HG76" s="166">
        <v>47.237000000000002</v>
      </c>
      <c r="HH76" s="166">
        <v>0</v>
      </c>
      <c r="HI76" s="166">
        <v>48</v>
      </c>
      <c r="HJ76" s="166">
        <v>48</v>
      </c>
      <c r="HK76" s="166">
        <v>47</v>
      </c>
      <c r="HL76" s="166">
        <v>1</v>
      </c>
      <c r="HM76" s="166">
        <v>0</v>
      </c>
      <c r="HN76" s="166">
        <v>0</v>
      </c>
      <c r="HO76" s="166">
        <v>780</v>
      </c>
      <c r="HP76" s="166">
        <v>0</v>
      </c>
      <c r="HQ76" s="166">
        <v>300</v>
      </c>
      <c r="HR76" s="166">
        <v>480</v>
      </c>
      <c r="HS76" s="166">
        <v>780</v>
      </c>
      <c r="HT76" s="166">
        <f>FY26_FE_Data_April15[[#This Row],[Oct 1, 2026 (CDC) - K]]+FY26_FE_Data_April15[[#This Row],[Oct 1, 2026 (CDC) - Grades 1-6]]+FY26_FE_Data_April15[[#This Row],[Oct 1, 2026 (CDC) - Grades 7-8]]</f>
        <v>300</v>
      </c>
      <c r="HU76" s="166">
        <v>0</v>
      </c>
      <c r="HW76" s="170"/>
      <c r="HY76" s="170"/>
    </row>
    <row r="77" spans="1:233" ht="39">
      <c r="A77" s="158" t="s">
        <v>443</v>
      </c>
      <c r="B77" s="159" t="s">
        <v>444</v>
      </c>
      <c r="C77" s="160" t="s">
        <v>445</v>
      </c>
      <c r="D77" s="160" t="s">
        <v>139</v>
      </c>
      <c r="E77" s="159" t="s">
        <v>784</v>
      </c>
      <c r="F77" s="159" t="s">
        <v>784</v>
      </c>
      <c r="G77" s="159"/>
      <c r="H77" s="161">
        <v>56.272222222222226</v>
      </c>
      <c r="I77" s="161">
        <v>0.28888888888888886</v>
      </c>
      <c r="J77" s="161">
        <v>56.561111111111117</v>
      </c>
      <c r="K77" s="162">
        <v>0</v>
      </c>
      <c r="L77" s="162">
        <v>0</v>
      </c>
      <c r="M77" s="162">
        <v>50</v>
      </c>
      <c r="N77" s="162">
        <v>196</v>
      </c>
      <c r="O77" s="162">
        <v>246</v>
      </c>
      <c r="P77" s="162">
        <v>246</v>
      </c>
      <c r="Q77" s="162">
        <v>50</v>
      </c>
      <c r="R77" s="162">
        <v>3</v>
      </c>
      <c r="S77" s="160">
        <v>0</v>
      </c>
      <c r="T77" s="160">
        <v>0</v>
      </c>
      <c r="U77" s="160">
        <v>0</v>
      </c>
      <c r="V77" s="160">
        <v>0</v>
      </c>
      <c r="W77" s="160">
        <v>0</v>
      </c>
      <c r="X77" s="160">
        <v>0</v>
      </c>
      <c r="Y77" s="160">
        <v>0</v>
      </c>
      <c r="Z77" s="160">
        <v>17.149999999999999</v>
      </c>
      <c r="AA77" s="160">
        <v>35.111111111111114</v>
      </c>
      <c r="AB77" s="160">
        <v>40.516666666666666</v>
      </c>
      <c r="AC77" s="160">
        <v>58.022222222222226</v>
      </c>
      <c r="AD77" s="160">
        <v>53.977777777777774</v>
      </c>
      <c r="AE77" s="160">
        <v>50.305555555555557</v>
      </c>
      <c r="AF77" s="160">
        <v>0</v>
      </c>
      <c r="AG77" s="160">
        <v>52.261111111111113</v>
      </c>
      <c r="AH77" s="160">
        <v>202.82222222222219</v>
      </c>
      <c r="AI77" s="160">
        <v>52.261111111111113</v>
      </c>
      <c r="AJ77" s="160">
        <v>255.08333333333331</v>
      </c>
      <c r="AK77" s="160">
        <v>255.08333333333331</v>
      </c>
      <c r="AL77" s="161">
        <v>59.966666666666669</v>
      </c>
      <c r="AM77" s="161">
        <v>2.0777777777777779</v>
      </c>
      <c r="AN77" s="161">
        <v>62.044444444444444</v>
      </c>
      <c r="AO77" s="161">
        <v>257.1611111111111</v>
      </c>
      <c r="AP77" s="162">
        <v>0</v>
      </c>
      <c r="AQ77" s="168">
        <v>0</v>
      </c>
      <c r="AR77" s="160">
        <v>0</v>
      </c>
      <c r="AS77" s="160">
        <v>0</v>
      </c>
      <c r="AT77" s="160">
        <v>0</v>
      </c>
      <c r="AU77" s="160">
        <v>0</v>
      </c>
      <c r="AV77" s="160">
        <v>0</v>
      </c>
      <c r="AW77" s="160">
        <v>19</v>
      </c>
      <c r="AX77" s="160">
        <v>26</v>
      </c>
      <c r="AY77" s="160">
        <v>46</v>
      </c>
      <c r="AZ77" s="160">
        <v>53</v>
      </c>
      <c r="BA77" s="160">
        <v>60</v>
      </c>
      <c r="BB77" s="160">
        <v>47</v>
      </c>
      <c r="BC77" s="160">
        <v>0</v>
      </c>
      <c r="BD77" s="160">
        <v>45</v>
      </c>
      <c r="BE77" s="160">
        <v>206</v>
      </c>
      <c r="BF77" s="160">
        <v>45</v>
      </c>
      <c r="BG77" s="160">
        <v>251</v>
      </c>
      <c r="BH77" s="160">
        <v>251</v>
      </c>
      <c r="BI77" s="160">
        <v>0</v>
      </c>
      <c r="BJ77" s="160">
        <v>0</v>
      </c>
      <c r="BK77" s="160">
        <v>1</v>
      </c>
      <c r="BL77" s="160">
        <v>49</v>
      </c>
      <c r="BM77" s="160">
        <v>57</v>
      </c>
      <c r="BN77" s="162">
        <v>2</v>
      </c>
      <c r="BO77" s="162">
        <v>59</v>
      </c>
      <c r="BP77" s="162">
        <v>0</v>
      </c>
      <c r="BQ77" s="163">
        <v>6.4751713693607493E-2</v>
      </c>
      <c r="BR77" s="164">
        <v>17.106000000000002</v>
      </c>
      <c r="BS77" s="164">
        <v>17.106000000000002</v>
      </c>
      <c r="BT77" s="164">
        <v>17.106000000000002</v>
      </c>
      <c r="BU77" s="164">
        <v>18.106000000000002</v>
      </c>
      <c r="BV77" s="165">
        <v>0</v>
      </c>
      <c r="BW77" s="165">
        <v>0</v>
      </c>
      <c r="BX77" s="166">
        <v>0</v>
      </c>
      <c r="BY77" s="166">
        <v>0</v>
      </c>
      <c r="BZ77" s="166">
        <v>0</v>
      </c>
      <c r="CA77" s="166">
        <v>0</v>
      </c>
      <c r="CB77" s="166">
        <v>0</v>
      </c>
      <c r="CC77" s="166">
        <v>0</v>
      </c>
      <c r="CD77" s="166">
        <v>0</v>
      </c>
      <c r="CE77" s="166">
        <v>0</v>
      </c>
      <c r="CF77" s="166">
        <v>0</v>
      </c>
      <c r="CG77" s="166">
        <v>0</v>
      </c>
      <c r="CH77" s="166">
        <v>18.516666666666666</v>
      </c>
      <c r="CI77" s="166">
        <v>30.333333333333332</v>
      </c>
      <c r="CJ77" s="166">
        <v>47.93333333333333</v>
      </c>
      <c r="CK77" s="166">
        <v>54.666666666666664</v>
      </c>
      <c r="CL77" s="166">
        <v>54.37777777777778</v>
      </c>
      <c r="CM77" s="166">
        <v>47.461111111111109</v>
      </c>
      <c r="CN77" s="166">
        <v>0</v>
      </c>
      <c r="CO77" s="166">
        <v>48.849999999999994</v>
      </c>
      <c r="CP77" s="166">
        <v>204.43888888888887</v>
      </c>
      <c r="CQ77" s="166">
        <v>48.849999999999994</v>
      </c>
      <c r="CR77" s="166">
        <v>253.28888888888889</v>
      </c>
      <c r="CS77" s="166">
        <v>253.28888888888889</v>
      </c>
      <c r="CT77" s="166">
        <v>52.661111111111097</v>
      </c>
      <c r="CU77" s="166">
        <v>2.12222222222222</v>
      </c>
      <c r="CV77" s="166">
        <v>54.783333333333317</v>
      </c>
      <c r="CW77" s="166">
        <v>255.4111111111111</v>
      </c>
      <c r="CX77" s="166">
        <v>0</v>
      </c>
      <c r="CY77" s="166">
        <v>0</v>
      </c>
      <c r="CZ77" s="165">
        <v>0</v>
      </c>
      <c r="DA77" s="165">
        <v>0</v>
      </c>
      <c r="DB77" s="165">
        <v>0</v>
      </c>
      <c r="DC77" s="165">
        <v>0</v>
      </c>
      <c r="DD77" s="165">
        <v>0</v>
      </c>
      <c r="DE77" s="165">
        <v>0</v>
      </c>
      <c r="DF77" s="165">
        <v>0</v>
      </c>
      <c r="DG77" s="165">
        <v>0</v>
      </c>
      <c r="DH77" s="165">
        <v>33</v>
      </c>
      <c r="DI77" s="165">
        <v>31</v>
      </c>
      <c r="DJ77" s="165">
        <v>45</v>
      </c>
      <c r="DK77" s="165">
        <v>67</v>
      </c>
      <c r="DL77" s="165">
        <v>59</v>
      </c>
      <c r="DM77" s="165">
        <v>52</v>
      </c>
      <c r="DN77" s="165">
        <v>0</v>
      </c>
      <c r="DO77" s="165">
        <v>64</v>
      </c>
      <c r="DP77" s="165">
        <v>223</v>
      </c>
      <c r="DQ77" s="165">
        <v>64</v>
      </c>
      <c r="DR77" s="165">
        <v>287</v>
      </c>
      <c r="DS77" s="165">
        <v>287</v>
      </c>
      <c r="DT77" s="165">
        <v>6</v>
      </c>
      <c r="DU77" s="165">
        <v>62</v>
      </c>
      <c r="DV77" s="165">
        <v>52</v>
      </c>
      <c r="DW77" s="165">
        <v>2</v>
      </c>
      <c r="DX77" s="165">
        <v>54</v>
      </c>
      <c r="DY77" s="165">
        <v>289</v>
      </c>
      <c r="DZ77" s="165">
        <v>0</v>
      </c>
      <c r="EA77" s="166">
        <v>16.905999999999999</v>
      </c>
      <c r="EB77" s="166">
        <v>16.905999999999999</v>
      </c>
      <c r="EC77" s="166">
        <v>0</v>
      </c>
      <c r="ED77" s="166">
        <v>14.356000000000002</v>
      </c>
      <c r="EE77" s="166">
        <v>0</v>
      </c>
      <c r="EF77" s="166">
        <v>17.956000000000003</v>
      </c>
      <c r="EG77" s="167">
        <v>5.7134996331621335E-2</v>
      </c>
      <c r="EH77" s="165"/>
      <c r="EI77" s="165">
        <v>0</v>
      </c>
      <c r="EJ77" s="165">
        <v>286</v>
      </c>
      <c r="EK77" s="165">
        <v>0</v>
      </c>
      <c r="EL77" s="165">
        <v>58</v>
      </c>
      <c r="EM77" s="165">
        <v>228</v>
      </c>
      <c r="EN77" s="165">
        <v>286</v>
      </c>
      <c r="EO77" s="165">
        <v>0</v>
      </c>
      <c r="EP77" s="165">
        <v>53</v>
      </c>
      <c r="EQ77" s="165">
        <v>53</v>
      </c>
      <c r="ER77" s="165">
        <v>51</v>
      </c>
      <c r="ES77" s="165">
        <v>2</v>
      </c>
      <c r="ET77" s="165">
        <v>0</v>
      </c>
      <c r="EU77" s="166">
        <v>3.75</v>
      </c>
      <c r="EV77" s="166">
        <v>0</v>
      </c>
      <c r="EW77" s="166">
        <v>3.5</v>
      </c>
      <c r="EX77" s="166">
        <v>1.1499999999999999</v>
      </c>
      <c r="EY77" s="166">
        <v>3.5</v>
      </c>
      <c r="EZ77" s="166">
        <v>11.9</v>
      </c>
      <c r="FA77" s="166">
        <v>0</v>
      </c>
      <c r="FB77" s="166">
        <v>0</v>
      </c>
      <c r="FC77" s="166">
        <v>0</v>
      </c>
      <c r="FD77" s="166">
        <v>0</v>
      </c>
      <c r="FE77" s="166">
        <v>0</v>
      </c>
      <c r="FF77" s="166">
        <v>0</v>
      </c>
      <c r="FG77" s="166">
        <v>0</v>
      </c>
      <c r="FH77" s="166">
        <v>0</v>
      </c>
      <c r="FI77" s="166">
        <v>0</v>
      </c>
      <c r="FJ77" s="166">
        <v>30.083333333333332</v>
      </c>
      <c r="FK77" s="166">
        <v>29.205555555555556</v>
      </c>
      <c r="FL77" s="166">
        <v>44.555555555555557</v>
      </c>
      <c r="FM77" s="166">
        <v>64.061111111111117</v>
      </c>
      <c r="FN77" s="166">
        <v>56.672222222222224</v>
      </c>
      <c r="FO77" s="166">
        <v>48.3</v>
      </c>
      <c r="FP77" s="166">
        <v>0</v>
      </c>
      <c r="FQ77" s="166">
        <v>59.288888888888891</v>
      </c>
      <c r="FR77" s="166">
        <v>213.5888888888889</v>
      </c>
      <c r="FS77" s="166">
        <v>59.288888888888891</v>
      </c>
      <c r="FT77" s="166">
        <v>272.87777777777779</v>
      </c>
      <c r="FU77" s="166">
        <v>272.87777777777779</v>
      </c>
      <c r="FV77" s="166">
        <v>44.927777777777777</v>
      </c>
      <c r="FW77" s="166">
        <v>1.0166666666666666</v>
      </c>
      <c r="FX77" s="166">
        <v>45.944444444444443</v>
      </c>
      <c r="FY77" s="166">
        <v>273.89444444444445</v>
      </c>
      <c r="FZ77" s="165">
        <v>0</v>
      </c>
      <c r="GA77" s="165">
        <v>0</v>
      </c>
      <c r="GB77" s="165">
        <v>0</v>
      </c>
      <c r="GC77" s="165">
        <v>0</v>
      </c>
      <c r="GD77" s="165">
        <v>0</v>
      </c>
      <c r="GE77" s="165">
        <v>0</v>
      </c>
      <c r="GF77" s="165">
        <v>0</v>
      </c>
      <c r="GG77" s="165">
        <v>0</v>
      </c>
      <c r="GH77" s="165">
        <v>0</v>
      </c>
      <c r="GI77" s="165">
        <v>16</v>
      </c>
      <c r="GJ77" s="165">
        <v>22</v>
      </c>
      <c r="GK77" s="165">
        <v>28</v>
      </c>
      <c r="GL77" s="165">
        <v>35</v>
      </c>
      <c r="GM77" s="165">
        <v>62</v>
      </c>
      <c r="GN77" s="165">
        <v>49</v>
      </c>
      <c r="GO77" s="165">
        <v>0</v>
      </c>
      <c r="GP77" s="165">
        <v>38</v>
      </c>
      <c r="GQ77" s="165">
        <v>174</v>
      </c>
      <c r="GR77" s="165">
        <v>38</v>
      </c>
      <c r="GS77" s="165">
        <v>212</v>
      </c>
      <c r="GT77" s="165">
        <v>212</v>
      </c>
      <c r="GU77" s="165">
        <v>4</v>
      </c>
      <c r="GV77" s="165">
        <v>56</v>
      </c>
      <c r="GW77" s="165">
        <v>37</v>
      </c>
      <c r="GX77" s="165">
        <v>0</v>
      </c>
      <c r="GY77" s="165">
        <v>37</v>
      </c>
      <c r="GZ77" s="165">
        <v>212</v>
      </c>
      <c r="HA77" s="165">
        <v>0</v>
      </c>
      <c r="HB77" s="166">
        <v>16.545999999999999</v>
      </c>
      <c r="HC77" s="166">
        <v>15.545999999999999</v>
      </c>
      <c r="HD77" s="166">
        <v>0</v>
      </c>
      <c r="HE77" s="166">
        <v>13.246</v>
      </c>
      <c r="HF77" s="166"/>
      <c r="HG77" s="166">
        <v>16.425999999999998</v>
      </c>
      <c r="HH77" s="166">
        <v>0</v>
      </c>
      <c r="HI77" s="166">
        <v>35</v>
      </c>
      <c r="HJ77" s="166">
        <v>35</v>
      </c>
      <c r="HK77" s="166">
        <v>35</v>
      </c>
      <c r="HL77" s="166">
        <v>0</v>
      </c>
      <c r="HM77" s="166">
        <v>0</v>
      </c>
      <c r="HN77" s="166">
        <v>0</v>
      </c>
      <c r="HO77" s="166">
        <v>265</v>
      </c>
      <c r="HP77" s="166">
        <v>0</v>
      </c>
      <c r="HQ77" s="166">
        <v>88</v>
      </c>
      <c r="HR77" s="166">
        <v>177</v>
      </c>
      <c r="HS77" s="166">
        <v>265</v>
      </c>
      <c r="HT77" s="166">
        <f>FY26_FE_Data_April15[[#This Row],[Oct 1, 2026 (CDC) - K]]+FY26_FE_Data_April15[[#This Row],[Oct 1, 2026 (CDC) - Grades 1-6]]+FY26_FE_Data_April15[[#This Row],[Oct 1, 2026 (CDC) - Grades 7-8]]</f>
        <v>88</v>
      </c>
      <c r="HU77" s="166">
        <v>0</v>
      </c>
      <c r="HW77" s="170"/>
      <c r="HY77" s="170"/>
    </row>
    <row r="78" spans="1:233" ht="26">
      <c r="A78" s="158" t="s">
        <v>446</v>
      </c>
      <c r="B78" s="159" t="s">
        <v>447</v>
      </c>
      <c r="C78" s="160" t="s">
        <v>448</v>
      </c>
      <c r="D78" s="160" t="s">
        <v>139</v>
      </c>
      <c r="E78" s="159" t="s">
        <v>784</v>
      </c>
      <c r="F78" s="159" t="s">
        <v>784</v>
      </c>
      <c r="G78" s="159"/>
      <c r="H78" s="161">
        <v>101.86111111111111</v>
      </c>
      <c r="I78" s="161">
        <v>1.461111111111111</v>
      </c>
      <c r="J78" s="161">
        <v>103.32222222222222</v>
      </c>
      <c r="K78" s="162">
        <v>88</v>
      </c>
      <c r="L78" s="162">
        <v>701</v>
      </c>
      <c r="M78" s="162">
        <v>244</v>
      </c>
      <c r="N78" s="162">
        <v>80</v>
      </c>
      <c r="O78" s="162">
        <v>1113</v>
      </c>
      <c r="P78" s="162">
        <v>1025</v>
      </c>
      <c r="Q78" s="162">
        <v>1033</v>
      </c>
      <c r="R78" s="162">
        <v>6</v>
      </c>
      <c r="S78" s="160">
        <v>86.455555555555549</v>
      </c>
      <c r="T78" s="160">
        <v>99.422222222222217</v>
      </c>
      <c r="U78" s="160">
        <v>105.85</v>
      </c>
      <c r="V78" s="160">
        <v>108.07222222222222</v>
      </c>
      <c r="W78" s="160">
        <v>114.06666666666666</v>
      </c>
      <c r="X78" s="160">
        <v>120.55</v>
      </c>
      <c r="Y78" s="160">
        <v>143.30000000000001</v>
      </c>
      <c r="Z78" s="160">
        <v>125.23888888888889</v>
      </c>
      <c r="AA78" s="160">
        <v>114.32777777777778</v>
      </c>
      <c r="AB78" s="160">
        <v>79.972222222222229</v>
      </c>
      <c r="AC78" s="160">
        <v>0</v>
      </c>
      <c r="AD78" s="160">
        <v>0</v>
      </c>
      <c r="AE78" s="160">
        <v>0</v>
      </c>
      <c r="AF78" s="160">
        <v>691.26111111111118</v>
      </c>
      <c r="AG78" s="160">
        <v>239.56666666666666</v>
      </c>
      <c r="AH78" s="160">
        <v>79.972222222222229</v>
      </c>
      <c r="AI78" s="160">
        <v>1017.2833333333332</v>
      </c>
      <c r="AJ78" s="160">
        <v>1010.8000000000002</v>
      </c>
      <c r="AK78" s="160">
        <v>1097.2555555555555</v>
      </c>
      <c r="AL78" s="161">
        <v>119.08333333333333</v>
      </c>
      <c r="AM78" s="161">
        <v>5.5111111111111111</v>
      </c>
      <c r="AN78" s="161">
        <v>124.59444444444443</v>
      </c>
      <c r="AO78" s="161">
        <v>1102.7666666666667</v>
      </c>
      <c r="AP78" s="162">
        <v>93</v>
      </c>
      <c r="AQ78" s="168">
        <v>105</v>
      </c>
      <c r="AR78" s="160">
        <v>105</v>
      </c>
      <c r="AS78" s="160">
        <v>113</v>
      </c>
      <c r="AT78" s="160">
        <v>117</v>
      </c>
      <c r="AU78" s="160">
        <v>116</v>
      </c>
      <c r="AV78" s="160">
        <v>142</v>
      </c>
      <c r="AW78" s="160">
        <v>135</v>
      </c>
      <c r="AX78" s="160">
        <v>121</v>
      </c>
      <c r="AY78" s="160">
        <v>70</v>
      </c>
      <c r="AZ78" s="160">
        <v>0</v>
      </c>
      <c r="BA78" s="160">
        <v>0</v>
      </c>
      <c r="BB78" s="160">
        <v>0</v>
      </c>
      <c r="BC78" s="160">
        <v>698</v>
      </c>
      <c r="BD78" s="160">
        <v>256</v>
      </c>
      <c r="BE78" s="160">
        <v>70</v>
      </c>
      <c r="BF78" s="160">
        <v>1047</v>
      </c>
      <c r="BG78" s="160">
        <v>1024</v>
      </c>
      <c r="BH78" s="160">
        <v>1117</v>
      </c>
      <c r="BI78" s="160">
        <v>92</v>
      </c>
      <c r="BJ78" s="160">
        <v>1</v>
      </c>
      <c r="BK78" s="160">
        <v>0</v>
      </c>
      <c r="BL78" s="160">
        <v>408</v>
      </c>
      <c r="BM78" s="160">
        <v>131</v>
      </c>
      <c r="BN78" s="162">
        <v>6</v>
      </c>
      <c r="BO78" s="162">
        <v>137</v>
      </c>
      <c r="BP78" s="162">
        <v>54</v>
      </c>
      <c r="BQ78" s="163">
        <v>6.8509615384615474E-2</v>
      </c>
      <c r="BR78" s="164">
        <v>60.05</v>
      </c>
      <c r="BS78" s="164">
        <v>60.05</v>
      </c>
      <c r="BT78" s="164">
        <v>59.05</v>
      </c>
      <c r="BU78" s="164">
        <v>60.05</v>
      </c>
      <c r="BV78" s="165">
        <v>0</v>
      </c>
      <c r="BW78" s="165">
        <v>0</v>
      </c>
      <c r="BX78" s="166">
        <v>0</v>
      </c>
      <c r="BY78" s="166">
        <v>0</v>
      </c>
      <c r="BZ78" s="166">
        <v>92.011111</v>
      </c>
      <c r="CA78" s="166">
        <v>92.011111111111106</v>
      </c>
      <c r="CB78" s="166">
        <v>103.05</v>
      </c>
      <c r="CC78" s="166">
        <v>102.78888888888889</v>
      </c>
      <c r="CD78" s="166">
        <v>112.41111111111111</v>
      </c>
      <c r="CE78" s="166">
        <v>111.31666666666666</v>
      </c>
      <c r="CF78" s="166">
        <v>113.98888888888889</v>
      </c>
      <c r="CG78" s="166">
        <v>138.67222222222222</v>
      </c>
      <c r="CH78" s="166">
        <v>133.40555555555557</v>
      </c>
      <c r="CI78" s="166">
        <v>115.43888888888888</v>
      </c>
      <c r="CJ78" s="166">
        <v>70.12777777777778</v>
      </c>
      <c r="CK78" s="166">
        <v>0</v>
      </c>
      <c r="CL78" s="166">
        <v>0</v>
      </c>
      <c r="CM78" s="166">
        <v>0</v>
      </c>
      <c r="CN78" s="166">
        <v>682.22777777777776</v>
      </c>
      <c r="CO78" s="166">
        <v>248.84444444444443</v>
      </c>
      <c r="CP78" s="166">
        <v>70.12777777777778</v>
      </c>
      <c r="CQ78" s="166">
        <v>1023.0833333333334</v>
      </c>
      <c r="CR78" s="166">
        <v>1001.1999999999999</v>
      </c>
      <c r="CS78" s="166">
        <v>1093.2111111111112</v>
      </c>
      <c r="CT78" s="166">
        <v>131.85555555555601</v>
      </c>
      <c r="CU78" s="166">
        <v>4</v>
      </c>
      <c r="CV78" s="166">
        <v>135.85555555555601</v>
      </c>
      <c r="CW78" s="166">
        <v>1097.2111111111112</v>
      </c>
      <c r="CX78" s="166">
        <v>0</v>
      </c>
      <c r="CY78" s="166">
        <v>89</v>
      </c>
      <c r="CZ78" s="165">
        <v>3</v>
      </c>
      <c r="DA78" s="165">
        <v>92</v>
      </c>
      <c r="DB78" s="165">
        <v>106</v>
      </c>
      <c r="DC78" s="165">
        <v>105</v>
      </c>
      <c r="DD78" s="165">
        <v>107</v>
      </c>
      <c r="DE78" s="165">
        <v>121</v>
      </c>
      <c r="DF78" s="165">
        <v>113</v>
      </c>
      <c r="DG78" s="165">
        <v>140</v>
      </c>
      <c r="DH78" s="165">
        <v>139</v>
      </c>
      <c r="DI78" s="165">
        <v>116</v>
      </c>
      <c r="DJ78" s="165">
        <v>76</v>
      </c>
      <c r="DK78" s="165">
        <v>0</v>
      </c>
      <c r="DL78" s="165">
        <v>0</v>
      </c>
      <c r="DM78" s="165">
        <v>0</v>
      </c>
      <c r="DN78" s="165">
        <v>692</v>
      </c>
      <c r="DO78" s="165">
        <v>255</v>
      </c>
      <c r="DP78" s="165">
        <v>76</v>
      </c>
      <c r="DQ78" s="165">
        <v>1039</v>
      </c>
      <c r="DR78" s="165">
        <v>1023</v>
      </c>
      <c r="DS78" s="165">
        <v>1115</v>
      </c>
      <c r="DT78" s="165">
        <v>0</v>
      </c>
      <c r="DU78" s="165">
        <v>405</v>
      </c>
      <c r="DV78" s="165">
        <v>135</v>
      </c>
      <c r="DW78" s="165">
        <v>5</v>
      </c>
      <c r="DX78" s="165">
        <v>140</v>
      </c>
      <c r="DY78" s="165">
        <v>1120</v>
      </c>
      <c r="DZ78" s="165">
        <v>50</v>
      </c>
      <c r="EA78" s="166">
        <v>60.571999999999996</v>
      </c>
      <c r="EB78" s="166">
        <v>57.571999999999996</v>
      </c>
      <c r="EC78" s="166">
        <v>30.347000000000001</v>
      </c>
      <c r="ED78" s="166">
        <v>22.225000000000001</v>
      </c>
      <c r="EE78" s="166">
        <v>0</v>
      </c>
      <c r="EF78" s="166">
        <v>61.921999999999997</v>
      </c>
      <c r="EG78" s="167">
        <v>6.0831377691883015E-2</v>
      </c>
      <c r="EH78" s="165"/>
      <c r="EI78" s="165">
        <v>98</v>
      </c>
      <c r="EJ78" s="165">
        <v>1015</v>
      </c>
      <c r="EK78" s="165">
        <v>673</v>
      </c>
      <c r="EL78" s="165">
        <v>266</v>
      </c>
      <c r="EM78" s="165">
        <v>76</v>
      </c>
      <c r="EN78" s="165">
        <v>1113</v>
      </c>
      <c r="EO78" s="165">
        <v>0</v>
      </c>
      <c r="EP78" s="165">
        <v>143</v>
      </c>
      <c r="EQ78" s="165">
        <v>143</v>
      </c>
      <c r="ER78" s="165">
        <v>139</v>
      </c>
      <c r="ES78" s="165">
        <v>4</v>
      </c>
      <c r="ET78" s="165">
        <v>3</v>
      </c>
      <c r="EU78" s="166">
        <v>18.850000000000001</v>
      </c>
      <c r="EV78" s="166">
        <v>0</v>
      </c>
      <c r="EW78" s="166">
        <v>4.45</v>
      </c>
      <c r="EX78" s="166">
        <v>1.25</v>
      </c>
      <c r="EY78" s="166">
        <v>11.8</v>
      </c>
      <c r="EZ78" s="166">
        <v>36.35</v>
      </c>
      <c r="FA78" s="166">
        <v>0.5</v>
      </c>
      <c r="FB78" s="166">
        <v>88.75</v>
      </c>
      <c r="FC78" s="166">
        <v>89.25</v>
      </c>
      <c r="FD78" s="166">
        <v>101.90555555555555</v>
      </c>
      <c r="FE78" s="166">
        <v>103.58333333333333</v>
      </c>
      <c r="FF78" s="166">
        <v>104.50555555555556</v>
      </c>
      <c r="FG78" s="166">
        <v>117.17777777777778</v>
      </c>
      <c r="FH78" s="166">
        <v>112.05</v>
      </c>
      <c r="FI78" s="166">
        <v>138.06666666666666</v>
      </c>
      <c r="FJ78" s="166">
        <v>135.5</v>
      </c>
      <c r="FK78" s="166">
        <v>113.41111111111111</v>
      </c>
      <c r="FL78" s="166">
        <v>73.838888888888889</v>
      </c>
      <c r="FM78" s="166">
        <v>0</v>
      </c>
      <c r="FN78" s="166">
        <v>0</v>
      </c>
      <c r="FO78" s="166">
        <v>0</v>
      </c>
      <c r="FP78" s="166">
        <v>677.28888888888878</v>
      </c>
      <c r="FQ78" s="166">
        <v>248.9111111111111</v>
      </c>
      <c r="FR78" s="166">
        <v>73.838888888888889</v>
      </c>
      <c r="FS78" s="166">
        <v>1015.4499999999999</v>
      </c>
      <c r="FT78" s="166">
        <v>1000.0388888888888</v>
      </c>
      <c r="FU78" s="166">
        <v>1089.2888888888888</v>
      </c>
      <c r="FV78" s="166">
        <v>136.0888888888889</v>
      </c>
      <c r="FW78" s="166">
        <v>4</v>
      </c>
      <c r="FX78" s="166">
        <v>140.0888888888889</v>
      </c>
      <c r="FY78" s="166">
        <v>1093.2888888888888</v>
      </c>
      <c r="FZ78" s="165">
        <v>0</v>
      </c>
      <c r="GA78" s="165">
        <v>100</v>
      </c>
      <c r="GB78" s="165">
        <v>100</v>
      </c>
      <c r="GC78" s="165">
        <v>90</v>
      </c>
      <c r="GD78" s="165">
        <v>103</v>
      </c>
      <c r="GE78" s="165">
        <v>106</v>
      </c>
      <c r="GF78" s="165">
        <v>113</v>
      </c>
      <c r="GG78" s="165">
        <v>114</v>
      </c>
      <c r="GH78" s="165">
        <v>131</v>
      </c>
      <c r="GI78" s="165">
        <v>148</v>
      </c>
      <c r="GJ78" s="165">
        <v>108</v>
      </c>
      <c r="GK78" s="165">
        <v>75</v>
      </c>
      <c r="GL78" s="165">
        <v>0</v>
      </c>
      <c r="GM78" s="165">
        <v>0</v>
      </c>
      <c r="GN78" s="165">
        <v>0</v>
      </c>
      <c r="GO78" s="165">
        <v>657</v>
      </c>
      <c r="GP78" s="165">
        <v>256</v>
      </c>
      <c r="GQ78" s="165">
        <v>75</v>
      </c>
      <c r="GR78" s="165">
        <v>1013</v>
      </c>
      <c r="GS78" s="165">
        <v>988</v>
      </c>
      <c r="GT78" s="165">
        <v>1088</v>
      </c>
      <c r="GU78" s="165">
        <v>0</v>
      </c>
      <c r="GV78" s="165">
        <v>341</v>
      </c>
      <c r="GW78" s="165">
        <v>147</v>
      </c>
      <c r="GX78" s="165">
        <v>7</v>
      </c>
      <c r="GY78" s="165">
        <v>154</v>
      </c>
      <c r="GZ78" s="165">
        <v>1095</v>
      </c>
      <c r="HA78" s="165">
        <v>45</v>
      </c>
      <c r="HB78" s="166">
        <v>60.690000000000005</v>
      </c>
      <c r="HC78" s="166">
        <v>58.690000000000005</v>
      </c>
      <c r="HD78" s="166">
        <v>30.264000000000003</v>
      </c>
      <c r="HE78" s="166">
        <v>21.45</v>
      </c>
      <c r="HF78" s="166"/>
      <c r="HG78" s="166">
        <v>64.19</v>
      </c>
      <c r="HH78" s="166">
        <v>0</v>
      </c>
      <c r="HI78" s="166">
        <v>151</v>
      </c>
      <c r="HJ78" s="166">
        <v>151</v>
      </c>
      <c r="HK78" s="166">
        <v>143</v>
      </c>
      <c r="HL78" s="166">
        <v>8</v>
      </c>
      <c r="HM78" s="166">
        <v>4</v>
      </c>
      <c r="HN78" s="166">
        <v>92</v>
      </c>
      <c r="HO78" s="166">
        <v>1023</v>
      </c>
      <c r="HP78" s="166">
        <v>692</v>
      </c>
      <c r="HQ78" s="166">
        <v>255</v>
      </c>
      <c r="HR78" s="166">
        <v>76</v>
      </c>
      <c r="HS78" s="166">
        <v>1115</v>
      </c>
      <c r="HT78" s="166">
        <f>FY26_FE_Data_April15[[#This Row],[Oct 1, 2026 (CDC) - K]]+FY26_FE_Data_April15[[#This Row],[Oct 1, 2026 (CDC) - Grades 1-6]]+FY26_FE_Data_April15[[#This Row],[Oct 1, 2026 (CDC) - Grades 7-8]]</f>
        <v>1039</v>
      </c>
      <c r="HU78" s="166">
        <v>0</v>
      </c>
      <c r="HW78" s="170"/>
      <c r="HY78" s="170"/>
    </row>
    <row r="79" spans="1:233" ht="39">
      <c r="A79" s="158" t="s">
        <v>449</v>
      </c>
      <c r="B79" s="159" t="s">
        <v>450</v>
      </c>
      <c r="C79" s="160" t="s">
        <v>451</v>
      </c>
      <c r="D79" s="160" t="s">
        <v>139</v>
      </c>
      <c r="E79" s="159" t="s">
        <v>784</v>
      </c>
      <c r="F79" s="159" t="s">
        <v>784</v>
      </c>
      <c r="G79" s="159"/>
      <c r="H79" s="161">
        <v>71.216666666666669</v>
      </c>
      <c r="I79" s="161">
        <v>44.244444444444447</v>
      </c>
      <c r="J79" s="161">
        <v>115.46111111111111</v>
      </c>
      <c r="K79" s="162">
        <v>50</v>
      </c>
      <c r="L79" s="162">
        <v>311</v>
      </c>
      <c r="M79" s="162">
        <v>230</v>
      </c>
      <c r="N79" s="162">
        <v>444</v>
      </c>
      <c r="O79" s="162">
        <v>1035</v>
      </c>
      <c r="P79" s="162">
        <v>985</v>
      </c>
      <c r="Q79" s="162">
        <v>591</v>
      </c>
      <c r="R79" s="162">
        <v>67</v>
      </c>
      <c r="S79" s="160">
        <v>45.666666666666664</v>
      </c>
      <c r="T79" s="160">
        <v>39.283333333333331</v>
      </c>
      <c r="U79" s="160">
        <v>37.644444444444446</v>
      </c>
      <c r="V79" s="160">
        <v>38.355555555555554</v>
      </c>
      <c r="W79" s="160">
        <v>42.716666666666669</v>
      </c>
      <c r="X79" s="160">
        <v>42.266666666666666</v>
      </c>
      <c r="Y79" s="160">
        <v>78.277777777777771</v>
      </c>
      <c r="Z79" s="160">
        <v>89.805555555555557</v>
      </c>
      <c r="AA79" s="160">
        <v>118.31111111111112</v>
      </c>
      <c r="AB79" s="160">
        <v>135.87777777777777</v>
      </c>
      <c r="AC79" s="160">
        <v>108.68333333333334</v>
      </c>
      <c r="AD79" s="160">
        <v>103.72777777777777</v>
      </c>
      <c r="AE79" s="160">
        <v>80.11666666666666</v>
      </c>
      <c r="AF79" s="160">
        <v>278.54444444444442</v>
      </c>
      <c r="AG79" s="160">
        <v>208.11666666666667</v>
      </c>
      <c r="AH79" s="160">
        <v>428.40555555555557</v>
      </c>
      <c r="AI79" s="160">
        <v>532.32777777777778</v>
      </c>
      <c r="AJ79" s="160">
        <v>915.06666666666661</v>
      </c>
      <c r="AK79" s="160">
        <v>960.73333333333335</v>
      </c>
      <c r="AL79" s="161">
        <v>39.772222222222226</v>
      </c>
      <c r="AM79" s="161">
        <v>62.861111111111114</v>
      </c>
      <c r="AN79" s="161">
        <v>102.63333333333334</v>
      </c>
      <c r="AO79" s="161">
        <v>1023.5944444444444</v>
      </c>
      <c r="AP79" s="162">
        <v>39</v>
      </c>
      <c r="AQ79" s="168">
        <v>45</v>
      </c>
      <c r="AR79" s="160">
        <v>39</v>
      </c>
      <c r="AS79" s="160">
        <v>45</v>
      </c>
      <c r="AT79" s="160">
        <v>56</v>
      </c>
      <c r="AU79" s="160">
        <v>51</v>
      </c>
      <c r="AV79" s="160">
        <v>65</v>
      </c>
      <c r="AW79" s="160">
        <v>87</v>
      </c>
      <c r="AX79" s="160">
        <v>100</v>
      </c>
      <c r="AY79" s="160">
        <v>122</v>
      </c>
      <c r="AZ79" s="160">
        <v>95</v>
      </c>
      <c r="BA79" s="160">
        <v>115</v>
      </c>
      <c r="BB79" s="160">
        <v>103</v>
      </c>
      <c r="BC79" s="160">
        <v>301</v>
      </c>
      <c r="BD79" s="160">
        <v>187</v>
      </c>
      <c r="BE79" s="160">
        <v>435</v>
      </c>
      <c r="BF79" s="160">
        <v>527</v>
      </c>
      <c r="BG79" s="160">
        <v>923</v>
      </c>
      <c r="BH79" s="160">
        <v>962</v>
      </c>
      <c r="BI79" s="160">
        <v>39</v>
      </c>
      <c r="BJ79" s="160">
        <v>0</v>
      </c>
      <c r="BK79" s="160">
        <v>0</v>
      </c>
      <c r="BL79" s="160">
        <v>312</v>
      </c>
      <c r="BM79" s="160">
        <v>50</v>
      </c>
      <c r="BN79" s="162">
        <v>57</v>
      </c>
      <c r="BO79" s="162">
        <v>107</v>
      </c>
      <c r="BP79" s="162">
        <v>28</v>
      </c>
      <c r="BQ79" s="163">
        <v>8.1430518122209306E-2</v>
      </c>
      <c r="BR79" s="164">
        <v>51.285999999999987</v>
      </c>
      <c r="BS79" s="164">
        <v>48.285999999999987</v>
      </c>
      <c r="BT79" s="164">
        <v>48.285999999999987</v>
      </c>
      <c r="BU79" s="164">
        <v>52.228999999999985</v>
      </c>
      <c r="BV79" s="165">
        <v>767</v>
      </c>
      <c r="BW79" s="165">
        <v>476</v>
      </c>
      <c r="BX79" s="166">
        <v>674.77777700000001</v>
      </c>
      <c r="BY79" s="166">
        <v>0</v>
      </c>
      <c r="BZ79" s="166">
        <v>38.994444000000001</v>
      </c>
      <c r="CA79" s="166">
        <v>38.994444444444447</v>
      </c>
      <c r="CB79" s="166">
        <v>40.227777777777774</v>
      </c>
      <c r="CC79" s="166">
        <v>35.133333333333333</v>
      </c>
      <c r="CD79" s="166">
        <v>47.588888888888889</v>
      </c>
      <c r="CE79" s="166">
        <v>52.244444444444447</v>
      </c>
      <c r="CF79" s="166">
        <v>50.955555555555556</v>
      </c>
      <c r="CG79" s="166">
        <v>64.088888888888889</v>
      </c>
      <c r="CH79" s="166">
        <v>94.722222222222229</v>
      </c>
      <c r="CI79" s="166">
        <v>100.42222222222222</v>
      </c>
      <c r="CJ79" s="166">
        <v>112.91111111111111</v>
      </c>
      <c r="CK79" s="166">
        <v>94.305555555555557</v>
      </c>
      <c r="CL79" s="166">
        <v>113.28888888888889</v>
      </c>
      <c r="CM79" s="166">
        <v>100.85</v>
      </c>
      <c r="CN79" s="166">
        <v>290.23888888888888</v>
      </c>
      <c r="CO79" s="166">
        <v>195.14444444444445</v>
      </c>
      <c r="CP79" s="166">
        <v>421.35555555555561</v>
      </c>
      <c r="CQ79" s="166">
        <v>524.37777777777774</v>
      </c>
      <c r="CR79" s="166">
        <v>906.73888888888894</v>
      </c>
      <c r="CS79" s="166">
        <v>945.73333333333335</v>
      </c>
      <c r="CT79" s="166">
        <v>108.933333333333</v>
      </c>
      <c r="CU79" s="166">
        <v>0</v>
      </c>
      <c r="CV79" s="166">
        <v>108.933333333333</v>
      </c>
      <c r="CW79" s="166">
        <v>945.73333333333335</v>
      </c>
      <c r="CX79" s="166">
        <v>693.97222199999999</v>
      </c>
      <c r="CY79" s="166">
        <v>45</v>
      </c>
      <c r="CZ79" s="165">
        <v>0</v>
      </c>
      <c r="DA79" s="165">
        <v>45</v>
      </c>
      <c r="DB79" s="165">
        <v>39</v>
      </c>
      <c r="DC79" s="165">
        <v>47</v>
      </c>
      <c r="DD79" s="165">
        <v>32</v>
      </c>
      <c r="DE79" s="165">
        <v>55</v>
      </c>
      <c r="DF79" s="165">
        <v>60</v>
      </c>
      <c r="DG79" s="165">
        <v>68</v>
      </c>
      <c r="DH79" s="165">
        <v>75</v>
      </c>
      <c r="DI79" s="165">
        <v>140</v>
      </c>
      <c r="DJ79" s="165">
        <v>171</v>
      </c>
      <c r="DK79" s="165">
        <v>117</v>
      </c>
      <c r="DL79" s="165">
        <v>115</v>
      </c>
      <c r="DM79" s="165">
        <v>106</v>
      </c>
      <c r="DN79" s="165">
        <v>301</v>
      </c>
      <c r="DO79" s="165">
        <v>215</v>
      </c>
      <c r="DP79" s="165">
        <v>509</v>
      </c>
      <c r="DQ79" s="165">
        <v>561</v>
      </c>
      <c r="DR79" s="165">
        <v>1025</v>
      </c>
      <c r="DS79" s="165">
        <v>1070</v>
      </c>
      <c r="DT79" s="165">
        <v>0</v>
      </c>
      <c r="DU79" s="165">
        <v>336</v>
      </c>
      <c r="DV79" s="165">
        <v>138</v>
      </c>
      <c r="DW79" s="165">
        <v>0</v>
      </c>
      <c r="DX79" s="165">
        <v>138</v>
      </c>
      <c r="DY79" s="165">
        <v>1070</v>
      </c>
      <c r="DZ79" s="165">
        <v>41</v>
      </c>
      <c r="EA79" s="166">
        <v>61.652999999999992</v>
      </c>
      <c r="EB79" s="166">
        <v>58.652999999999992</v>
      </c>
      <c r="EC79" s="166">
        <v>17.937999999999999</v>
      </c>
      <c r="ED79" s="166">
        <v>24.654999999999998</v>
      </c>
      <c r="EE79" s="166">
        <v>0</v>
      </c>
      <c r="EF79" s="166">
        <v>62.753</v>
      </c>
      <c r="EG79" s="167">
        <v>9.4855696807142675E-2</v>
      </c>
      <c r="EH79" s="165"/>
      <c r="EI79" s="165">
        <v>43</v>
      </c>
      <c r="EJ79" s="165">
        <v>1021</v>
      </c>
      <c r="EK79" s="165">
        <v>379</v>
      </c>
      <c r="EL79" s="165">
        <v>145</v>
      </c>
      <c r="EM79" s="165">
        <v>497</v>
      </c>
      <c r="EN79" s="165">
        <v>1064</v>
      </c>
      <c r="EO79" s="165">
        <v>0</v>
      </c>
      <c r="EP79" s="165">
        <v>156</v>
      </c>
      <c r="EQ79" s="165">
        <v>156</v>
      </c>
      <c r="ER79" s="165">
        <v>156</v>
      </c>
      <c r="ES79" s="165">
        <v>0</v>
      </c>
      <c r="ET79" s="165">
        <v>6</v>
      </c>
      <c r="EU79" s="166">
        <v>0</v>
      </c>
      <c r="EV79" s="166">
        <v>0</v>
      </c>
      <c r="EW79" s="166">
        <v>5</v>
      </c>
      <c r="EX79" s="166">
        <v>0</v>
      </c>
      <c r="EY79" s="166">
        <v>0</v>
      </c>
      <c r="EZ79" s="166">
        <v>5</v>
      </c>
      <c r="FA79" s="166">
        <v>0</v>
      </c>
      <c r="FB79" s="166">
        <v>45.261111111111113</v>
      </c>
      <c r="FC79" s="166">
        <v>45.261111111111113</v>
      </c>
      <c r="FD79" s="166">
        <v>42.794444444444444</v>
      </c>
      <c r="FE79" s="166">
        <v>45.416666666666664</v>
      </c>
      <c r="FF79" s="166">
        <v>34.944444444444443</v>
      </c>
      <c r="FG79" s="166">
        <v>62.2</v>
      </c>
      <c r="FH79" s="166">
        <v>64.13333333333334</v>
      </c>
      <c r="FI79" s="166">
        <v>70.3</v>
      </c>
      <c r="FJ79" s="166">
        <v>87.172222222222217</v>
      </c>
      <c r="FK79" s="166">
        <v>145.97777777777779</v>
      </c>
      <c r="FL79" s="166">
        <v>176.9388888888889</v>
      </c>
      <c r="FM79" s="166">
        <v>129.11666666666667</v>
      </c>
      <c r="FN79" s="166">
        <v>116.11666666666666</v>
      </c>
      <c r="FO79" s="166">
        <v>102.45555555555555</v>
      </c>
      <c r="FP79" s="166">
        <v>319.78888888888889</v>
      </c>
      <c r="FQ79" s="166">
        <v>233.15</v>
      </c>
      <c r="FR79" s="166">
        <v>524.62777777777774</v>
      </c>
      <c r="FS79" s="166">
        <v>598.20000000000005</v>
      </c>
      <c r="FT79" s="166">
        <v>1077.5666666666666</v>
      </c>
      <c r="FU79" s="166">
        <v>1122.8277777777778</v>
      </c>
      <c r="FV79" s="166">
        <v>157.69444444444446</v>
      </c>
      <c r="FW79" s="166">
        <v>0</v>
      </c>
      <c r="FX79" s="166">
        <v>157.69444444444446</v>
      </c>
      <c r="FY79" s="166">
        <v>1122.8277777777778</v>
      </c>
      <c r="FZ79" s="165">
        <v>0</v>
      </c>
      <c r="GA79" s="165">
        <v>43</v>
      </c>
      <c r="GB79" s="165">
        <v>43</v>
      </c>
      <c r="GC79" s="165">
        <v>56</v>
      </c>
      <c r="GD79" s="165">
        <v>44</v>
      </c>
      <c r="GE79" s="165">
        <v>57</v>
      </c>
      <c r="GF79" s="165">
        <v>49</v>
      </c>
      <c r="GG79" s="165">
        <v>78</v>
      </c>
      <c r="GH79" s="165">
        <v>86</v>
      </c>
      <c r="GI79" s="165">
        <v>91</v>
      </c>
      <c r="GJ79" s="165">
        <v>132</v>
      </c>
      <c r="GK79" s="165">
        <v>203</v>
      </c>
      <c r="GL79" s="165">
        <v>145</v>
      </c>
      <c r="GM79" s="165">
        <v>135</v>
      </c>
      <c r="GN79" s="165">
        <v>89</v>
      </c>
      <c r="GO79" s="165">
        <v>370</v>
      </c>
      <c r="GP79" s="165">
        <v>223</v>
      </c>
      <c r="GQ79" s="165">
        <v>572</v>
      </c>
      <c r="GR79" s="165">
        <v>636</v>
      </c>
      <c r="GS79" s="165">
        <v>1165</v>
      </c>
      <c r="GT79" s="165">
        <v>1208</v>
      </c>
      <c r="GU79" s="165">
        <v>0</v>
      </c>
      <c r="GV79" s="165">
        <v>173</v>
      </c>
      <c r="GW79" s="165">
        <v>100</v>
      </c>
      <c r="GX79" s="165">
        <v>0</v>
      </c>
      <c r="GY79" s="165">
        <v>100</v>
      </c>
      <c r="GZ79" s="165">
        <v>1208</v>
      </c>
      <c r="HA79" s="165">
        <v>35</v>
      </c>
      <c r="HB79" s="166">
        <v>61.099999999999994</v>
      </c>
      <c r="HC79" s="166">
        <v>58.099999999999994</v>
      </c>
      <c r="HD79" s="166">
        <v>15.574999999999999</v>
      </c>
      <c r="HE79" s="166">
        <v>26.024999999999999</v>
      </c>
      <c r="HF79" s="166"/>
      <c r="HG79" s="166">
        <v>62.2</v>
      </c>
      <c r="HH79" s="166">
        <v>0</v>
      </c>
      <c r="HI79" s="166">
        <v>168</v>
      </c>
      <c r="HJ79" s="166">
        <v>168</v>
      </c>
      <c r="HK79" s="166">
        <v>152</v>
      </c>
      <c r="HL79" s="166">
        <v>16</v>
      </c>
      <c r="HM79" s="166">
        <v>7</v>
      </c>
      <c r="HN79" s="166">
        <v>40</v>
      </c>
      <c r="HO79" s="166">
        <v>1200</v>
      </c>
      <c r="HP79" s="166">
        <v>395</v>
      </c>
      <c r="HQ79" s="166">
        <v>230</v>
      </c>
      <c r="HR79" s="166">
        <v>575</v>
      </c>
      <c r="HS79" s="166">
        <v>1240</v>
      </c>
      <c r="HT79" s="166">
        <f>FY26_FE_Data_April15[[#This Row],[Oct 1, 2026 (CDC) - K]]+FY26_FE_Data_April15[[#This Row],[Oct 1, 2026 (CDC) - Grades 1-6]]+FY26_FE_Data_April15[[#This Row],[Oct 1, 2026 (CDC) - Grades 7-8]]</f>
        <v>665</v>
      </c>
      <c r="HU79" s="166">
        <v>743.28333299999997</v>
      </c>
      <c r="HW79" s="170"/>
      <c r="HY79" s="170"/>
    </row>
    <row r="80" spans="1:233" ht="52">
      <c r="A80" s="158" t="s">
        <v>452</v>
      </c>
      <c r="B80" s="159" t="s">
        <v>453</v>
      </c>
      <c r="C80" s="160" t="s">
        <v>454</v>
      </c>
      <c r="D80" s="160" t="s">
        <v>139</v>
      </c>
      <c r="E80" s="159" t="s">
        <v>784</v>
      </c>
      <c r="F80" s="159" t="s">
        <v>784</v>
      </c>
      <c r="G80" s="159"/>
      <c r="H80" s="161">
        <v>46.511111111111113</v>
      </c>
      <c r="I80" s="161">
        <v>0.6333333333333333</v>
      </c>
      <c r="J80" s="161">
        <v>47.144444444444446</v>
      </c>
      <c r="K80" s="162">
        <v>88</v>
      </c>
      <c r="L80" s="162">
        <v>441</v>
      </c>
      <c r="M80" s="162">
        <v>0</v>
      </c>
      <c r="N80" s="162">
        <v>0</v>
      </c>
      <c r="O80" s="162">
        <v>529</v>
      </c>
      <c r="P80" s="162">
        <v>441</v>
      </c>
      <c r="Q80" s="162">
        <v>529</v>
      </c>
      <c r="R80" s="162">
        <v>1</v>
      </c>
      <c r="S80" s="160">
        <v>87.194444444444443</v>
      </c>
      <c r="T80" s="160">
        <v>82.7</v>
      </c>
      <c r="U80" s="160">
        <v>81.355555555555554</v>
      </c>
      <c r="V80" s="160">
        <v>76.805555555555557</v>
      </c>
      <c r="W80" s="160">
        <v>80.222222222222229</v>
      </c>
      <c r="X80" s="160">
        <v>65.577777777777783</v>
      </c>
      <c r="Y80" s="160">
        <v>56.955555555555556</v>
      </c>
      <c r="Z80" s="160">
        <v>0</v>
      </c>
      <c r="AA80" s="160">
        <v>0</v>
      </c>
      <c r="AB80" s="160">
        <v>0</v>
      </c>
      <c r="AC80" s="160">
        <v>0</v>
      </c>
      <c r="AD80" s="160">
        <v>0</v>
      </c>
      <c r="AE80" s="160">
        <v>0</v>
      </c>
      <c r="AF80" s="160">
        <v>443.61666666666667</v>
      </c>
      <c r="AG80" s="160">
        <v>0</v>
      </c>
      <c r="AH80" s="160">
        <v>0</v>
      </c>
      <c r="AI80" s="160">
        <v>530.81111111111113</v>
      </c>
      <c r="AJ80" s="160">
        <v>443.61666666666667</v>
      </c>
      <c r="AK80" s="160">
        <v>530.81111111111113</v>
      </c>
      <c r="AL80" s="161">
        <v>49.983333333333334</v>
      </c>
      <c r="AM80" s="161">
        <v>1</v>
      </c>
      <c r="AN80" s="161">
        <v>50.983333333333334</v>
      </c>
      <c r="AO80" s="161">
        <v>531.81111111111113</v>
      </c>
      <c r="AP80" s="162">
        <v>80</v>
      </c>
      <c r="AQ80" s="168">
        <v>83</v>
      </c>
      <c r="AR80" s="160">
        <v>81</v>
      </c>
      <c r="AS80" s="160">
        <v>81</v>
      </c>
      <c r="AT80" s="160">
        <v>78</v>
      </c>
      <c r="AU80" s="160">
        <v>76</v>
      </c>
      <c r="AV80" s="160">
        <v>60</v>
      </c>
      <c r="AW80" s="160">
        <v>0</v>
      </c>
      <c r="AX80" s="160">
        <v>0</v>
      </c>
      <c r="AY80" s="160">
        <v>0</v>
      </c>
      <c r="AZ80" s="160">
        <v>0</v>
      </c>
      <c r="BA80" s="160">
        <v>0</v>
      </c>
      <c r="BB80" s="160">
        <v>0</v>
      </c>
      <c r="BC80" s="160">
        <v>459</v>
      </c>
      <c r="BD80" s="160">
        <v>0</v>
      </c>
      <c r="BE80" s="160">
        <v>0</v>
      </c>
      <c r="BF80" s="160">
        <v>539</v>
      </c>
      <c r="BG80" s="160">
        <v>459</v>
      </c>
      <c r="BH80" s="160">
        <v>539</v>
      </c>
      <c r="BI80" s="160">
        <v>80</v>
      </c>
      <c r="BJ80" s="160">
        <v>0</v>
      </c>
      <c r="BK80" s="160">
        <v>0</v>
      </c>
      <c r="BL80" s="160">
        <v>212</v>
      </c>
      <c r="BM80" s="160">
        <v>61</v>
      </c>
      <c r="BN80" s="162">
        <v>0</v>
      </c>
      <c r="BO80" s="162">
        <v>61</v>
      </c>
      <c r="BP80" s="162">
        <v>259</v>
      </c>
      <c r="BQ80" s="163">
        <v>6.5104166666666685E-2</v>
      </c>
      <c r="BR80" s="164">
        <v>27</v>
      </c>
      <c r="BS80" s="164">
        <v>24</v>
      </c>
      <c r="BT80" s="164">
        <v>24</v>
      </c>
      <c r="BU80" s="164">
        <v>28</v>
      </c>
      <c r="BV80" s="165">
        <v>0</v>
      </c>
      <c r="BW80" s="165">
        <v>0</v>
      </c>
      <c r="BX80" s="166">
        <v>0</v>
      </c>
      <c r="BY80" s="166">
        <v>0</v>
      </c>
      <c r="BZ80" s="166">
        <v>80.005555000000001</v>
      </c>
      <c r="CA80" s="166">
        <v>80.00555555555556</v>
      </c>
      <c r="CB80" s="166">
        <v>81.966666666666669</v>
      </c>
      <c r="CC80" s="166">
        <v>82.138888888888886</v>
      </c>
      <c r="CD80" s="166">
        <v>81.611111111111114</v>
      </c>
      <c r="CE80" s="166">
        <v>79.166666666666671</v>
      </c>
      <c r="CF80" s="166">
        <v>72.955555555555549</v>
      </c>
      <c r="CG80" s="166">
        <v>58.2</v>
      </c>
      <c r="CH80" s="166">
        <v>0</v>
      </c>
      <c r="CI80" s="166">
        <v>0</v>
      </c>
      <c r="CJ80" s="166">
        <v>0</v>
      </c>
      <c r="CK80" s="166">
        <v>0</v>
      </c>
      <c r="CL80" s="166">
        <v>0</v>
      </c>
      <c r="CM80" s="166">
        <v>0</v>
      </c>
      <c r="CN80" s="166">
        <v>456.03888888888883</v>
      </c>
      <c r="CO80" s="166">
        <v>0</v>
      </c>
      <c r="CP80" s="166">
        <v>0</v>
      </c>
      <c r="CQ80" s="166">
        <v>536.04444444444448</v>
      </c>
      <c r="CR80" s="166">
        <v>456.03888888888883</v>
      </c>
      <c r="CS80" s="166">
        <v>536.04444444444448</v>
      </c>
      <c r="CT80" s="166">
        <v>63.477777777777803</v>
      </c>
      <c r="CU80" s="166">
        <v>0</v>
      </c>
      <c r="CV80" s="166">
        <v>63.477777777777803</v>
      </c>
      <c r="CW80" s="166">
        <v>536.04444444444448</v>
      </c>
      <c r="CX80" s="166">
        <v>0</v>
      </c>
      <c r="CY80" s="166">
        <v>90</v>
      </c>
      <c r="CZ80" s="165">
        <v>0</v>
      </c>
      <c r="DA80" s="165">
        <v>90</v>
      </c>
      <c r="DB80" s="165">
        <v>85</v>
      </c>
      <c r="DC80" s="165">
        <v>79</v>
      </c>
      <c r="DD80" s="165">
        <v>81</v>
      </c>
      <c r="DE80" s="165">
        <v>80</v>
      </c>
      <c r="DF80" s="165">
        <v>72</v>
      </c>
      <c r="DG80" s="165">
        <v>58</v>
      </c>
      <c r="DH80" s="165">
        <v>31</v>
      </c>
      <c r="DI80" s="165">
        <v>0</v>
      </c>
      <c r="DJ80" s="165">
        <v>0</v>
      </c>
      <c r="DK80" s="165">
        <v>0</v>
      </c>
      <c r="DL80" s="165">
        <v>0</v>
      </c>
      <c r="DM80" s="165">
        <v>0</v>
      </c>
      <c r="DN80" s="165">
        <v>455</v>
      </c>
      <c r="DO80" s="165">
        <v>31</v>
      </c>
      <c r="DP80" s="165">
        <v>0</v>
      </c>
      <c r="DQ80" s="165">
        <v>576</v>
      </c>
      <c r="DR80" s="165">
        <v>486</v>
      </c>
      <c r="DS80" s="165">
        <v>576</v>
      </c>
      <c r="DT80" s="165">
        <v>0</v>
      </c>
      <c r="DU80" s="165">
        <v>313</v>
      </c>
      <c r="DV80" s="165">
        <v>68</v>
      </c>
      <c r="DW80" s="165">
        <v>1</v>
      </c>
      <c r="DX80" s="165">
        <v>69</v>
      </c>
      <c r="DY80" s="165">
        <v>577</v>
      </c>
      <c r="DZ80" s="165">
        <v>281</v>
      </c>
      <c r="EA80" s="166">
        <v>29.5</v>
      </c>
      <c r="EB80" s="166">
        <v>26.5</v>
      </c>
      <c r="EC80" s="166">
        <v>23</v>
      </c>
      <c r="ED80" s="166">
        <v>3.5</v>
      </c>
      <c r="EE80" s="166">
        <v>0</v>
      </c>
      <c r="EF80" s="166">
        <v>31</v>
      </c>
      <c r="EG80" s="167">
        <v>6.6826923076923117E-2</v>
      </c>
      <c r="EH80" s="165"/>
      <c r="EI80" s="165">
        <v>86</v>
      </c>
      <c r="EJ80" s="165">
        <v>486</v>
      </c>
      <c r="EK80" s="165">
        <v>437</v>
      </c>
      <c r="EL80" s="165">
        <v>49</v>
      </c>
      <c r="EM80" s="165">
        <v>0</v>
      </c>
      <c r="EN80" s="165">
        <v>572</v>
      </c>
      <c r="EO80" s="165">
        <v>0</v>
      </c>
      <c r="EP80" s="165">
        <v>71</v>
      </c>
      <c r="EQ80" s="165">
        <v>71</v>
      </c>
      <c r="ER80" s="165">
        <v>70</v>
      </c>
      <c r="ES80" s="165">
        <v>1</v>
      </c>
      <c r="ET80" s="165">
        <v>11</v>
      </c>
      <c r="EU80" s="166">
        <v>35</v>
      </c>
      <c r="EV80" s="166">
        <v>1</v>
      </c>
      <c r="EW80" s="166">
        <v>3.5</v>
      </c>
      <c r="EX80" s="166">
        <v>0.85</v>
      </c>
      <c r="EY80" s="166">
        <v>4.7</v>
      </c>
      <c r="EZ80" s="166">
        <v>45.050000000000004</v>
      </c>
      <c r="FA80" s="166">
        <v>0</v>
      </c>
      <c r="FB80" s="166">
        <v>88.344444444444449</v>
      </c>
      <c r="FC80" s="166">
        <v>88.344444444444449</v>
      </c>
      <c r="FD80" s="166">
        <v>83.916666666666671</v>
      </c>
      <c r="FE80" s="166">
        <v>79.316666666666663</v>
      </c>
      <c r="FF80" s="166">
        <v>81.588888888888889</v>
      </c>
      <c r="FG80" s="166">
        <v>81.49444444444444</v>
      </c>
      <c r="FH80" s="166">
        <v>72.983333333333334</v>
      </c>
      <c r="FI80" s="166">
        <v>58.361111111111114</v>
      </c>
      <c r="FJ80" s="166">
        <v>33.81666666666667</v>
      </c>
      <c r="FK80" s="166">
        <v>0</v>
      </c>
      <c r="FL80" s="166">
        <v>0</v>
      </c>
      <c r="FM80" s="166">
        <v>0</v>
      </c>
      <c r="FN80" s="166">
        <v>0</v>
      </c>
      <c r="FO80" s="166">
        <v>0</v>
      </c>
      <c r="FP80" s="166">
        <v>457.66111111111115</v>
      </c>
      <c r="FQ80" s="166">
        <v>33.81666666666667</v>
      </c>
      <c r="FR80" s="166">
        <v>0</v>
      </c>
      <c r="FS80" s="166">
        <v>579.82222222222231</v>
      </c>
      <c r="FT80" s="166">
        <v>491.47777777777782</v>
      </c>
      <c r="FU80" s="166">
        <v>579.82222222222231</v>
      </c>
      <c r="FV80" s="166">
        <v>70.816666666666663</v>
      </c>
      <c r="FW80" s="166">
        <v>2</v>
      </c>
      <c r="FX80" s="166">
        <v>72.816666666666663</v>
      </c>
      <c r="FY80" s="166">
        <v>581.82222222222231</v>
      </c>
      <c r="FZ80" s="165">
        <v>0</v>
      </c>
      <c r="GA80" s="165">
        <v>83</v>
      </c>
      <c r="GB80" s="165">
        <v>83</v>
      </c>
      <c r="GC80" s="165">
        <v>85</v>
      </c>
      <c r="GD80" s="165">
        <v>84</v>
      </c>
      <c r="GE80" s="165">
        <v>81</v>
      </c>
      <c r="GF80" s="165">
        <v>76</v>
      </c>
      <c r="GG80" s="165">
        <v>81</v>
      </c>
      <c r="GH80" s="165">
        <v>63</v>
      </c>
      <c r="GI80" s="165">
        <v>28</v>
      </c>
      <c r="GJ80" s="165">
        <v>0</v>
      </c>
      <c r="GK80" s="165">
        <v>0</v>
      </c>
      <c r="GL80" s="165">
        <v>0</v>
      </c>
      <c r="GM80" s="165">
        <v>0</v>
      </c>
      <c r="GN80" s="165">
        <v>0</v>
      </c>
      <c r="GO80" s="165">
        <v>470</v>
      </c>
      <c r="GP80" s="165">
        <v>28</v>
      </c>
      <c r="GQ80" s="165">
        <v>0</v>
      </c>
      <c r="GR80" s="165">
        <v>581</v>
      </c>
      <c r="GS80" s="165">
        <v>498</v>
      </c>
      <c r="GT80" s="165">
        <v>581</v>
      </c>
      <c r="GU80" s="165">
        <v>0</v>
      </c>
      <c r="GV80" s="165">
        <v>417</v>
      </c>
      <c r="GW80" s="165">
        <v>75</v>
      </c>
      <c r="GX80" s="165">
        <v>4</v>
      </c>
      <c r="GY80" s="165">
        <v>79</v>
      </c>
      <c r="GZ80" s="165">
        <v>585</v>
      </c>
      <c r="HA80" s="165">
        <v>261</v>
      </c>
      <c r="HB80" s="166">
        <v>30.15</v>
      </c>
      <c r="HC80" s="166">
        <v>28.15</v>
      </c>
      <c r="HD80" s="166">
        <v>24.35</v>
      </c>
      <c r="HE80" s="166">
        <v>3.8</v>
      </c>
      <c r="HF80" s="166"/>
      <c r="HG80" s="166">
        <v>31.15</v>
      </c>
      <c r="HH80" s="166">
        <v>0</v>
      </c>
      <c r="HI80" s="166">
        <v>77</v>
      </c>
      <c r="HJ80" s="166">
        <v>77</v>
      </c>
      <c r="HK80" s="166">
        <v>74</v>
      </c>
      <c r="HL80" s="166">
        <v>3</v>
      </c>
      <c r="HM80" s="166">
        <v>20</v>
      </c>
      <c r="HN80" s="166">
        <v>91</v>
      </c>
      <c r="HO80" s="166">
        <v>490</v>
      </c>
      <c r="HP80" s="166">
        <v>457</v>
      </c>
      <c r="HQ80" s="166">
        <v>33</v>
      </c>
      <c r="HR80" s="166">
        <v>0</v>
      </c>
      <c r="HS80" s="166">
        <v>581</v>
      </c>
      <c r="HT80" s="166">
        <f>FY26_FE_Data_April15[[#This Row],[Oct 1, 2026 (CDC) - K]]+FY26_FE_Data_April15[[#This Row],[Oct 1, 2026 (CDC) - Grades 1-6]]+FY26_FE_Data_April15[[#This Row],[Oct 1, 2026 (CDC) - Grades 7-8]]</f>
        <v>581</v>
      </c>
      <c r="HU80" s="166">
        <v>0</v>
      </c>
      <c r="HW80" s="170"/>
      <c r="HY80" s="170"/>
    </row>
    <row r="81" spans="1:233" ht="39">
      <c r="A81" s="158" t="s">
        <v>455</v>
      </c>
      <c r="B81" s="159" t="s">
        <v>456</v>
      </c>
      <c r="C81" s="160" t="s">
        <v>457</v>
      </c>
      <c r="D81" s="160" t="s">
        <v>139</v>
      </c>
      <c r="E81" s="159" t="s">
        <v>784</v>
      </c>
      <c r="F81" s="159" t="s">
        <v>784</v>
      </c>
      <c r="G81" s="159"/>
      <c r="H81" s="161">
        <v>260.12222222222221</v>
      </c>
      <c r="I81" s="161">
        <v>21.666666666666668</v>
      </c>
      <c r="J81" s="161">
        <v>281.78888888888889</v>
      </c>
      <c r="K81" s="162">
        <v>315</v>
      </c>
      <c r="L81" s="162">
        <v>1864</v>
      </c>
      <c r="M81" s="162">
        <v>319</v>
      </c>
      <c r="N81" s="162">
        <v>141</v>
      </c>
      <c r="O81" s="162">
        <v>2639</v>
      </c>
      <c r="P81" s="162">
        <v>2324</v>
      </c>
      <c r="Q81" s="162">
        <v>2498</v>
      </c>
      <c r="R81" s="162">
        <v>31</v>
      </c>
      <c r="S81" s="160">
        <v>308.64999999999998</v>
      </c>
      <c r="T81" s="160">
        <v>329.86111111111109</v>
      </c>
      <c r="U81" s="160">
        <v>349.56111111111113</v>
      </c>
      <c r="V81" s="160">
        <v>310.77777777777777</v>
      </c>
      <c r="W81" s="160">
        <v>313.46666666666664</v>
      </c>
      <c r="X81" s="160">
        <v>260.72777777777776</v>
      </c>
      <c r="Y81" s="160">
        <v>249.02777777777777</v>
      </c>
      <c r="Z81" s="160">
        <v>157.77777777777777</v>
      </c>
      <c r="AA81" s="160">
        <v>148.92222222222222</v>
      </c>
      <c r="AB81" s="160">
        <v>134.64444444444445</v>
      </c>
      <c r="AC81" s="160">
        <v>0</v>
      </c>
      <c r="AD81" s="160">
        <v>0</v>
      </c>
      <c r="AE81" s="160">
        <v>0</v>
      </c>
      <c r="AF81" s="160">
        <v>1813.4222222222224</v>
      </c>
      <c r="AG81" s="160">
        <v>306.7</v>
      </c>
      <c r="AH81" s="160">
        <v>134.64444444444445</v>
      </c>
      <c r="AI81" s="160">
        <v>2428.7722222222219</v>
      </c>
      <c r="AJ81" s="160">
        <v>2254.7666666666669</v>
      </c>
      <c r="AK81" s="160">
        <v>2563.4166666666665</v>
      </c>
      <c r="AL81" s="161">
        <v>343.21666666666664</v>
      </c>
      <c r="AM81" s="161">
        <v>30.005555555555556</v>
      </c>
      <c r="AN81" s="161">
        <v>373.22222222222217</v>
      </c>
      <c r="AO81" s="161">
        <v>2593.422222222222</v>
      </c>
      <c r="AP81" s="162">
        <v>373</v>
      </c>
      <c r="AQ81" s="168">
        <v>339</v>
      </c>
      <c r="AR81" s="160">
        <v>353</v>
      </c>
      <c r="AS81" s="160">
        <v>345</v>
      </c>
      <c r="AT81" s="160">
        <v>330</v>
      </c>
      <c r="AU81" s="160">
        <v>317</v>
      </c>
      <c r="AV81" s="160">
        <v>266</v>
      </c>
      <c r="AW81" s="160">
        <v>167</v>
      </c>
      <c r="AX81" s="160">
        <v>149</v>
      </c>
      <c r="AY81" s="160">
        <v>115</v>
      </c>
      <c r="AZ81" s="160">
        <v>0</v>
      </c>
      <c r="BA81" s="160">
        <v>0</v>
      </c>
      <c r="BB81" s="160">
        <v>0</v>
      </c>
      <c r="BC81" s="160">
        <v>1950</v>
      </c>
      <c r="BD81" s="160">
        <v>316</v>
      </c>
      <c r="BE81" s="160">
        <v>115</v>
      </c>
      <c r="BF81" s="160">
        <v>2639</v>
      </c>
      <c r="BG81" s="160">
        <v>2381</v>
      </c>
      <c r="BH81" s="160">
        <v>2754</v>
      </c>
      <c r="BI81" s="160">
        <v>177</v>
      </c>
      <c r="BJ81" s="160">
        <v>196</v>
      </c>
      <c r="BK81" s="160">
        <v>0</v>
      </c>
      <c r="BL81" s="160">
        <v>892</v>
      </c>
      <c r="BM81" s="160">
        <v>336</v>
      </c>
      <c r="BN81" s="162">
        <v>30</v>
      </c>
      <c r="BO81" s="162">
        <v>366</v>
      </c>
      <c r="BP81" s="162">
        <v>334</v>
      </c>
      <c r="BQ81" s="163">
        <v>6.6970775885908052E-2</v>
      </c>
      <c r="BR81" s="164">
        <v>171.464</v>
      </c>
      <c r="BS81" s="164">
        <v>161.464</v>
      </c>
      <c r="BT81" s="164">
        <v>159.464</v>
      </c>
      <c r="BU81" s="164">
        <v>171.464</v>
      </c>
      <c r="BV81" s="165">
        <v>0</v>
      </c>
      <c r="BW81" s="165">
        <v>0</v>
      </c>
      <c r="BX81" s="166">
        <v>0</v>
      </c>
      <c r="BY81" s="166">
        <v>193.433333</v>
      </c>
      <c r="BZ81" s="166">
        <v>174.18888799999999</v>
      </c>
      <c r="CA81" s="166">
        <v>367.62222222222221</v>
      </c>
      <c r="CB81" s="166">
        <v>333.15</v>
      </c>
      <c r="CC81" s="166">
        <v>346.51666666666665</v>
      </c>
      <c r="CD81" s="166">
        <v>344.8388888888889</v>
      </c>
      <c r="CE81" s="166">
        <v>321.67777777777781</v>
      </c>
      <c r="CF81" s="166">
        <v>306.81111111111113</v>
      </c>
      <c r="CG81" s="166">
        <v>262.28333333333336</v>
      </c>
      <c r="CH81" s="166">
        <v>158.53333333333333</v>
      </c>
      <c r="CI81" s="166">
        <v>141.94999999999999</v>
      </c>
      <c r="CJ81" s="166">
        <v>108.64444444444445</v>
      </c>
      <c r="CK81" s="166">
        <v>0</v>
      </c>
      <c r="CL81" s="166">
        <v>0</v>
      </c>
      <c r="CM81" s="166">
        <v>0</v>
      </c>
      <c r="CN81" s="166">
        <v>1915.2777777777778</v>
      </c>
      <c r="CO81" s="166">
        <v>300.48333333333335</v>
      </c>
      <c r="CP81" s="166">
        <v>108.64444444444445</v>
      </c>
      <c r="CQ81" s="166">
        <v>2583.3833333333332</v>
      </c>
      <c r="CR81" s="166">
        <v>2324.4055555555556</v>
      </c>
      <c r="CS81" s="166">
        <v>2692.0277777777778</v>
      </c>
      <c r="CT81" s="166">
        <v>343.86111111111097</v>
      </c>
      <c r="CU81" s="166">
        <v>27.561111111111099</v>
      </c>
      <c r="CV81" s="166">
        <v>371.42222222222205</v>
      </c>
      <c r="CW81" s="166">
        <v>2719.588888888889</v>
      </c>
      <c r="CX81" s="166">
        <v>0</v>
      </c>
      <c r="CY81" s="166">
        <v>274</v>
      </c>
      <c r="CZ81" s="165">
        <v>94</v>
      </c>
      <c r="DA81" s="165">
        <v>368</v>
      </c>
      <c r="DB81" s="165">
        <v>372</v>
      </c>
      <c r="DC81" s="165">
        <v>356</v>
      </c>
      <c r="DD81" s="165">
        <v>353</v>
      </c>
      <c r="DE81" s="165">
        <v>351</v>
      </c>
      <c r="DF81" s="165">
        <v>318</v>
      </c>
      <c r="DG81" s="165">
        <v>312</v>
      </c>
      <c r="DH81" s="165">
        <v>164</v>
      </c>
      <c r="DI81" s="165">
        <v>145</v>
      </c>
      <c r="DJ81" s="165">
        <v>118</v>
      </c>
      <c r="DK81" s="165">
        <v>0</v>
      </c>
      <c r="DL81" s="165">
        <v>0</v>
      </c>
      <c r="DM81" s="165">
        <v>0</v>
      </c>
      <c r="DN81" s="165">
        <v>2062</v>
      </c>
      <c r="DO81" s="165">
        <v>309</v>
      </c>
      <c r="DP81" s="165">
        <v>118</v>
      </c>
      <c r="DQ81" s="165">
        <v>2739</v>
      </c>
      <c r="DR81" s="165">
        <v>2489</v>
      </c>
      <c r="DS81" s="165">
        <v>2857</v>
      </c>
      <c r="DT81" s="165">
        <v>0</v>
      </c>
      <c r="DU81" s="165">
        <v>774</v>
      </c>
      <c r="DV81" s="165">
        <v>375</v>
      </c>
      <c r="DW81" s="165">
        <v>37</v>
      </c>
      <c r="DX81" s="165">
        <v>412</v>
      </c>
      <c r="DY81" s="165">
        <v>2894</v>
      </c>
      <c r="DZ81" s="165">
        <v>384</v>
      </c>
      <c r="EA81" s="166">
        <v>178.76</v>
      </c>
      <c r="EB81" s="166">
        <v>168.76</v>
      </c>
      <c r="EC81" s="166">
        <v>121.54400000000001</v>
      </c>
      <c r="ED81" s="166">
        <v>31.752999999999997</v>
      </c>
      <c r="EE81" s="166">
        <v>0</v>
      </c>
      <c r="EF81" s="166">
        <v>179.75999999999996</v>
      </c>
      <c r="EG81" s="167">
        <v>7.1078796204614769E-2</v>
      </c>
      <c r="EH81" s="165"/>
      <c r="EI81" s="165">
        <v>355</v>
      </c>
      <c r="EJ81" s="165">
        <v>2489</v>
      </c>
      <c r="EK81" s="165">
        <v>2066</v>
      </c>
      <c r="EL81" s="165">
        <v>310</v>
      </c>
      <c r="EM81" s="165">
        <v>113</v>
      </c>
      <c r="EN81" s="165">
        <v>2844</v>
      </c>
      <c r="EO81" s="165">
        <v>0</v>
      </c>
      <c r="EP81" s="165">
        <v>426</v>
      </c>
      <c r="EQ81" s="165">
        <v>426</v>
      </c>
      <c r="ER81" s="165">
        <v>389</v>
      </c>
      <c r="ES81" s="165">
        <v>37</v>
      </c>
      <c r="ET81" s="165">
        <v>18</v>
      </c>
      <c r="EU81" s="166">
        <v>72.45</v>
      </c>
      <c r="EV81" s="166">
        <v>4.5</v>
      </c>
      <c r="EW81" s="166">
        <v>15.675000000000001</v>
      </c>
      <c r="EX81" s="166">
        <v>2.7250000000000001</v>
      </c>
      <c r="EY81" s="166">
        <v>0</v>
      </c>
      <c r="EZ81" s="166">
        <v>95.35</v>
      </c>
      <c r="FA81" s="166">
        <v>53.044444444444444</v>
      </c>
      <c r="FB81" s="166">
        <v>312.62777777777779</v>
      </c>
      <c r="FC81" s="166">
        <v>365.67222222222222</v>
      </c>
      <c r="FD81" s="166">
        <v>363.51111111111112</v>
      </c>
      <c r="FE81" s="166">
        <v>353.40555555555557</v>
      </c>
      <c r="FF81" s="166">
        <v>347.37222222222221</v>
      </c>
      <c r="FG81" s="166">
        <v>346.42777777777781</v>
      </c>
      <c r="FH81" s="166">
        <v>313.77222222222224</v>
      </c>
      <c r="FI81" s="166">
        <v>307.70555555555558</v>
      </c>
      <c r="FJ81" s="166">
        <v>159.03333333333333</v>
      </c>
      <c r="FK81" s="166">
        <v>140.19444444444446</v>
      </c>
      <c r="FL81" s="166">
        <v>114.49444444444444</v>
      </c>
      <c r="FM81" s="166">
        <v>0</v>
      </c>
      <c r="FN81" s="166">
        <v>0</v>
      </c>
      <c r="FO81" s="166">
        <v>0</v>
      </c>
      <c r="FP81" s="166">
        <v>2032.1944444444446</v>
      </c>
      <c r="FQ81" s="166">
        <v>299.22777777777776</v>
      </c>
      <c r="FR81" s="166">
        <v>114.49444444444444</v>
      </c>
      <c r="FS81" s="166">
        <v>2697.0944444444449</v>
      </c>
      <c r="FT81" s="166">
        <v>2445.916666666667</v>
      </c>
      <c r="FU81" s="166">
        <v>2811.5888888888894</v>
      </c>
      <c r="FV81" s="166">
        <v>394.9</v>
      </c>
      <c r="FW81" s="166">
        <v>34.616666666666667</v>
      </c>
      <c r="FX81" s="166">
        <v>429.51666666666665</v>
      </c>
      <c r="FY81" s="166">
        <v>2846.2055555555562</v>
      </c>
      <c r="FZ81" s="165">
        <v>34</v>
      </c>
      <c r="GA81" s="165">
        <v>354</v>
      </c>
      <c r="GB81" s="165">
        <v>388</v>
      </c>
      <c r="GC81" s="165">
        <v>388</v>
      </c>
      <c r="GD81" s="165">
        <v>384</v>
      </c>
      <c r="GE81" s="165">
        <v>352</v>
      </c>
      <c r="GF81" s="165">
        <v>355</v>
      </c>
      <c r="GG81" s="165">
        <v>333</v>
      </c>
      <c r="GH81" s="165">
        <v>308</v>
      </c>
      <c r="GI81" s="165">
        <v>177</v>
      </c>
      <c r="GJ81" s="165">
        <v>151</v>
      </c>
      <c r="GK81" s="165">
        <v>103</v>
      </c>
      <c r="GL81" s="165">
        <v>0</v>
      </c>
      <c r="GM81" s="165">
        <v>0</v>
      </c>
      <c r="GN81" s="165">
        <v>0</v>
      </c>
      <c r="GO81" s="165">
        <v>2120</v>
      </c>
      <c r="GP81" s="165">
        <v>328</v>
      </c>
      <c r="GQ81" s="165">
        <v>103</v>
      </c>
      <c r="GR81" s="165">
        <v>2836</v>
      </c>
      <c r="GS81" s="165">
        <v>2551</v>
      </c>
      <c r="GT81" s="165">
        <v>2939</v>
      </c>
      <c r="GU81" s="165">
        <v>0</v>
      </c>
      <c r="GV81" s="165">
        <v>815</v>
      </c>
      <c r="GW81" s="165">
        <v>399</v>
      </c>
      <c r="GX81" s="165">
        <v>30</v>
      </c>
      <c r="GY81" s="165">
        <v>429</v>
      </c>
      <c r="GZ81" s="165">
        <v>2969</v>
      </c>
      <c r="HA81" s="165">
        <v>402</v>
      </c>
      <c r="HB81" s="166">
        <v>189.214</v>
      </c>
      <c r="HC81" s="166">
        <v>179.214</v>
      </c>
      <c r="HD81" s="166">
        <v>130.45000000000002</v>
      </c>
      <c r="HE81" s="166">
        <v>31.193999999999996</v>
      </c>
      <c r="HF81" s="166"/>
      <c r="HG81" s="166">
        <v>190.828</v>
      </c>
      <c r="HH81" s="166">
        <v>0</v>
      </c>
      <c r="HI81" s="166">
        <v>423</v>
      </c>
      <c r="HJ81" s="166">
        <v>423</v>
      </c>
      <c r="HK81" s="166">
        <v>393</v>
      </c>
      <c r="HL81" s="166">
        <v>30</v>
      </c>
      <c r="HM81" s="166">
        <v>24</v>
      </c>
      <c r="HN81" s="166">
        <v>383</v>
      </c>
      <c r="HO81" s="166">
        <v>2657</v>
      </c>
      <c r="HP81" s="166">
        <v>2225</v>
      </c>
      <c r="HQ81" s="166">
        <v>317</v>
      </c>
      <c r="HR81" s="166">
        <v>115</v>
      </c>
      <c r="HS81" s="166">
        <v>3040</v>
      </c>
      <c r="HT81" s="166">
        <f>FY26_FE_Data_April15[[#This Row],[Oct 1, 2026 (CDC) - K]]+FY26_FE_Data_April15[[#This Row],[Oct 1, 2026 (CDC) - Grades 1-6]]+FY26_FE_Data_April15[[#This Row],[Oct 1, 2026 (CDC) - Grades 7-8]]</f>
        <v>2925</v>
      </c>
      <c r="HU81" s="166">
        <v>0</v>
      </c>
      <c r="HW81" s="170"/>
      <c r="HY81" s="170"/>
    </row>
    <row r="82" spans="1:233" ht="26">
      <c r="A82" s="158" t="s">
        <v>458</v>
      </c>
      <c r="B82" s="159" t="s">
        <v>459</v>
      </c>
      <c r="C82" s="160" t="s">
        <v>460</v>
      </c>
      <c r="D82" s="160" t="s">
        <v>139</v>
      </c>
      <c r="E82" s="159" t="s">
        <v>784</v>
      </c>
      <c r="F82" s="159" t="s">
        <v>784</v>
      </c>
      <c r="G82" s="159"/>
      <c r="H82" s="161">
        <v>154.75555555555556</v>
      </c>
      <c r="I82" s="161">
        <v>4.9666666666666668</v>
      </c>
      <c r="J82" s="161">
        <v>159.72222222222223</v>
      </c>
      <c r="K82" s="162">
        <v>0</v>
      </c>
      <c r="L82" s="162">
        <v>0</v>
      </c>
      <c r="M82" s="162">
        <v>307</v>
      </c>
      <c r="N82" s="162">
        <v>605</v>
      </c>
      <c r="O82" s="162">
        <v>912</v>
      </c>
      <c r="P82" s="162">
        <v>912</v>
      </c>
      <c r="Q82" s="162">
        <v>307</v>
      </c>
      <c r="R82" s="162">
        <v>6</v>
      </c>
      <c r="S82" s="160">
        <v>0</v>
      </c>
      <c r="T82" s="160">
        <v>0</v>
      </c>
      <c r="U82" s="160">
        <v>0</v>
      </c>
      <c r="V82" s="160">
        <v>0</v>
      </c>
      <c r="W82" s="160">
        <v>0</v>
      </c>
      <c r="X82" s="160">
        <v>0</v>
      </c>
      <c r="Y82" s="160">
        <v>0</v>
      </c>
      <c r="Z82" s="160">
        <v>138.13888888888889</v>
      </c>
      <c r="AA82" s="160">
        <v>151.65555555555557</v>
      </c>
      <c r="AB82" s="160">
        <v>170.19444444444446</v>
      </c>
      <c r="AC82" s="160">
        <v>145.63333333333333</v>
      </c>
      <c r="AD82" s="160">
        <v>144.23333333333332</v>
      </c>
      <c r="AE82" s="160">
        <v>117.48333333333333</v>
      </c>
      <c r="AF82" s="160">
        <v>0</v>
      </c>
      <c r="AG82" s="160">
        <v>289.79444444444448</v>
      </c>
      <c r="AH82" s="160">
        <v>577.54444444444448</v>
      </c>
      <c r="AI82" s="160">
        <v>289.79444444444448</v>
      </c>
      <c r="AJ82" s="160">
        <v>867.33888888888896</v>
      </c>
      <c r="AK82" s="160">
        <v>867.33888888888896</v>
      </c>
      <c r="AL82" s="161">
        <v>147.02777777777777</v>
      </c>
      <c r="AM82" s="161">
        <v>5.7333333333333334</v>
      </c>
      <c r="AN82" s="161">
        <v>152.76111111111109</v>
      </c>
      <c r="AO82" s="161">
        <v>873.07222222222231</v>
      </c>
      <c r="AP82" s="162">
        <v>0</v>
      </c>
      <c r="AQ82" s="168">
        <v>0</v>
      </c>
      <c r="AR82" s="160">
        <v>0</v>
      </c>
      <c r="AS82" s="160">
        <v>0</v>
      </c>
      <c r="AT82" s="160">
        <v>0</v>
      </c>
      <c r="AU82" s="160">
        <v>0</v>
      </c>
      <c r="AV82" s="160">
        <v>0</v>
      </c>
      <c r="AW82" s="160">
        <v>147</v>
      </c>
      <c r="AX82" s="160">
        <v>153</v>
      </c>
      <c r="AY82" s="160">
        <v>182</v>
      </c>
      <c r="AZ82" s="160">
        <v>166</v>
      </c>
      <c r="BA82" s="160">
        <v>132</v>
      </c>
      <c r="BB82" s="160">
        <v>126</v>
      </c>
      <c r="BC82" s="160">
        <v>0</v>
      </c>
      <c r="BD82" s="160">
        <v>300</v>
      </c>
      <c r="BE82" s="160">
        <v>606</v>
      </c>
      <c r="BF82" s="160">
        <v>300</v>
      </c>
      <c r="BG82" s="160">
        <v>906</v>
      </c>
      <c r="BH82" s="160">
        <v>906</v>
      </c>
      <c r="BI82" s="160">
        <v>0</v>
      </c>
      <c r="BJ82" s="160">
        <v>0</v>
      </c>
      <c r="BK82" s="160">
        <v>0</v>
      </c>
      <c r="BL82" s="160">
        <v>298</v>
      </c>
      <c r="BM82" s="160">
        <v>150</v>
      </c>
      <c r="BN82" s="162">
        <v>6</v>
      </c>
      <c r="BO82" s="162">
        <v>156</v>
      </c>
      <c r="BP82" s="162">
        <v>145</v>
      </c>
      <c r="BQ82" s="163">
        <v>7.9091166477916308E-2</v>
      </c>
      <c r="BR82" s="164">
        <v>67.16</v>
      </c>
      <c r="BS82" s="164">
        <v>64.16</v>
      </c>
      <c r="BT82" s="164">
        <v>63.660000000000004</v>
      </c>
      <c r="BU82" s="164">
        <v>68.16</v>
      </c>
      <c r="BV82" s="165">
        <v>0</v>
      </c>
      <c r="BW82" s="165">
        <v>0</v>
      </c>
      <c r="BX82" s="166">
        <v>0</v>
      </c>
      <c r="BY82" s="166">
        <v>0</v>
      </c>
      <c r="BZ82" s="166">
        <v>0</v>
      </c>
      <c r="CA82" s="166">
        <v>0</v>
      </c>
      <c r="CB82" s="166">
        <v>0</v>
      </c>
      <c r="CC82" s="166">
        <v>0</v>
      </c>
      <c r="CD82" s="166">
        <v>0</v>
      </c>
      <c r="CE82" s="166">
        <v>0</v>
      </c>
      <c r="CF82" s="166">
        <v>0</v>
      </c>
      <c r="CG82" s="166">
        <v>0</v>
      </c>
      <c r="CH82" s="166">
        <v>136.11111111111111</v>
      </c>
      <c r="CI82" s="166">
        <v>144.05555555555554</v>
      </c>
      <c r="CJ82" s="166">
        <v>170.63333333333333</v>
      </c>
      <c r="CK82" s="166">
        <v>157.34444444444443</v>
      </c>
      <c r="CL82" s="166">
        <v>121.7</v>
      </c>
      <c r="CM82" s="166">
        <v>119.22222222222223</v>
      </c>
      <c r="CN82" s="166">
        <v>0</v>
      </c>
      <c r="CO82" s="166">
        <v>280.16666666666663</v>
      </c>
      <c r="CP82" s="166">
        <v>568.9</v>
      </c>
      <c r="CQ82" s="166">
        <v>280.16666666666663</v>
      </c>
      <c r="CR82" s="166">
        <v>849.06666666666661</v>
      </c>
      <c r="CS82" s="166">
        <v>849.06666666666661</v>
      </c>
      <c r="CT82" s="166">
        <v>133.555555555556</v>
      </c>
      <c r="CU82" s="166">
        <v>5.24444444444444</v>
      </c>
      <c r="CV82" s="166">
        <v>138.80000000000044</v>
      </c>
      <c r="CW82" s="166">
        <v>854.31111111111102</v>
      </c>
      <c r="CX82" s="166">
        <v>0</v>
      </c>
      <c r="CY82" s="166">
        <v>0</v>
      </c>
      <c r="CZ82" s="165">
        <v>0</v>
      </c>
      <c r="DA82" s="165">
        <v>0</v>
      </c>
      <c r="DB82" s="165">
        <v>0</v>
      </c>
      <c r="DC82" s="165">
        <v>0</v>
      </c>
      <c r="DD82" s="165">
        <v>0</v>
      </c>
      <c r="DE82" s="165">
        <v>0</v>
      </c>
      <c r="DF82" s="165">
        <v>0</v>
      </c>
      <c r="DG82" s="165">
        <v>0</v>
      </c>
      <c r="DH82" s="165">
        <v>161</v>
      </c>
      <c r="DI82" s="165">
        <v>184</v>
      </c>
      <c r="DJ82" s="165">
        <v>175</v>
      </c>
      <c r="DK82" s="165">
        <v>171</v>
      </c>
      <c r="DL82" s="165">
        <v>152</v>
      </c>
      <c r="DM82" s="165">
        <v>111</v>
      </c>
      <c r="DN82" s="165">
        <v>0</v>
      </c>
      <c r="DO82" s="165">
        <v>345</v>
      </c>
      <c r="DP82" s="165">
        <v>609</v>
      </c>
      <c r="DQ82" s="165">
        <v>345</v>
      </c>
      <c r="DR82" s="165">
        <v>954</v>
      </c>
      <c r="DS82" s="165">
        <v>954</v>
      </c>
      <c r="DT82" s="165">
        <v>0</v>
      </c>
      <c r="DU82" s="165">
        <v>264</v>
      </c>
      <c r="DV82" s="165">
        <v>145</v>
      </c>
      <c r="DW82" s="165">
        <v>3</v>
      </c>
      <c r="DX82" s="165">
        <v>148</v>
      </c>
      <c r="DY82" s="165">
        <v>957</v>
      </c>
      <c r="DZ82" s="165">
        <v>146</v>
      </c>
      <c r="EA82" s="166">
        <v>65.900000000000006</v>
      </c>
      <c r="EB82" s="166">
        <v>60</v>
      </c>
      <c r="EC82" s="166">
        <v>0.6</v>
      </c>
      <c r="ED82" s="166">
        <v>52.2</v>
      </c>
      <c r="EE82" s="166">
        <v>0</v>
      </c>
      <c r="EF82" s="166">
        <v>66.400000000000006</v>
      </c>
      <c r="EG82" s="167">
        <v>9.0181133874219221E-2</v>
      </c>
      <c r="EH82" s="165"/>
      <c r="EI82" s="165">
        <v>0</v>
      </c>
      <c r="EJ82" s="165">
        <v>954</v>
      </c>
      <c r="EK82" s="165">
        <v>0</v>
      </c>
      <c r="EL82" s="165">
        <v>305</v>
      </c>
      <c r="EM82" s="165">
        <v>649</v>
      </c>
      <c r="EN82" s="165">
        <v>954</v>
      </c>
      <c r="EO82" s="165">
        <v>0</v>
      </c>
      <c r="EP82" s="165">
        <v>143</v>
      </c>
      <c r="EQ82" s="165">
        <v>143</v>
      </c>
      <c r="ER82" s="165">
        <v>140</v>
      </c>
      <c r="ES82" s="165">
        <v>3</v>
      </c>
      <c r="ET82" s="165">
        <v>6</v>
      </c>
      <c r="EU82" s="166">
        <v>18</v>
      </c>
      <c r="EV82" s="166">
        <v>0</v>
      </c>
      <c r="EW82" s="166">
        <v>0</v>
      </c>
      <c r="EX82" s="166">
        <v>2.5379999999999998</v>
      </c>
      <c r="EY82" s="166">
        <v>8.11</v>
      </c>
      <c r="EZ82" s="166">
        <v>28.648</v>
      </c>
      <c r="FA82" s="166">
        <v>0</v>
      </c>
      <c r="FB82" s="166">
        <v>0</v>
      </c>
      <c r="FC82" s="166">
        <v>0</v>
      </c>
      <c r="FD82" s="166">
        <v>0</v>
      </c>
      <c r="FE82" s="166">
        <v>0</v>
      </c>
      <c r="FF82" s="166">
        <v>0</v>
      </c>
      <c r="FG82" s="166">
        <v>0</v>
      </c>
      <c r="FH82" s="166">
        <v>0</v>
      </c>
      <c r="FI82" s="166">
        <v>0</v>
      </c>
      <c r="FJ82" s="166">
        <v>155.65</v>
      </c>
      <c r="FK82" s="166">
        <v>182.47222222222223</v>
      </c>
      <c r="FL82" s="166">
        <v>167.96666666666667</v>
      </c>
      <c r="FM82" s="166">
        <v>167.11666666666667</v>
      </c>
      <c r="FN82" s="166">
        <v>149.72777777777779</v>
      </c>
      <c r="FO82" s="166">
        <v>109.82222222222222</v>
      </c>
      <c r="FP82" s="166">
        <v>0</v>
      </c>
      <c r="FQ82" s="166">
        <v>338.12222222222226</v>
      </c>
      <c r="FR82" s="166">
        <v>594.63333333333333</v>
      </c>
      <c r="FS82" s="166">
        <v>338.12222222222226</v>
      </c>
      <c r="FT82" s="166">
        <v>932.75555555555559</v>
      </c>
      <c r="FU82" s="166">
        <v>932.75555555555559</v>
      </c>
      <c r="FV82" s="166">
        <v>142.1611111111111</v>
      </c>
      <c r="FW82" s="166">
        <v>1.5</v>
      </c>
      <c r="FX82" s="166">
        <v>143.6611111111111</v>
      </c>
      <c r="FY82" s="166">
        <v>934.25555555555559</v>
      </c>
      <c r="FZ82" s="165">
        <v>0</v>
      </c>
      <c r="GA82" s="165">
        <v>0</v>
      </c>
      <c r="GB82" s="165">
        <v>0</v>
      </c>
      <c r="GC82" s="165">
        <v>0</v>
      </c>
      <c r="GD82" s="165">
        <v>0</v>
      </c>
      <c r="GE82" s="165">
        <v>0</v>
      </c>
      <c r="GF82" s="165">
        <v>0</v>
      </c>
      <c r="GG82" s="165">
        <v>0</v>
      </c>
      <c r="GH82" s="165">
        <v>41</v>
      </c>
      <c r="GI82" s="165">
        <v>152</v>
      </c>
      <c r="GJ82" s="165">
        <v>210</v>
      </c>
      <c r="GK82" s="165">
        <v>248</v>
      </c>
      <c r="GL82" s="165">
        <v>202</v>
      </c>
      <c r="GM82" s="165">
        <v>171</v>
      </c>
      <c r="GN82" s="165">
        <v>139</v>
      </c>
      <c r="GO82" s="165">
        <v>41</v>
      </c>
      <c r="GP82" s="165">
        <v>362</v>
      </c>
      <c r="GQ82" s="165">
        <v>760</v>
      </c>
      <c r="GR82" s="165">
        <v>403</v>
      </c>
      <c r="GS82" s="165">
        <v>1163</v>
      </c>
      <c r="GT82" s="165">
        <v>1163</v>
      </c>
      <c r="GU82" s="165">
        <v>0</v>
      </c>
      <c r="GV82" s="165">
        <v>326</v>
      </c>
      <c r="GW82" s="165">
        <v>175</v>
      </c>
      <c r="GX82" s="165">
        <v>9</v>
      </c>
      <c r="GY82" s="165">
        <v>184</v>
      </c>
      <c r="GZ82" s="165">
        <v>1172</v>
      </c>
      <c r="HA82" s="165">
        <v>167</v>
      </c>
      <c r="HB82" s="166">
        <v>73.050000000000011</v>
      </c>
      <c r="HC82" s="166">
        <v>69.150000000000006</v>
      </c>
      <c r="HD82" s="166">
        <v>1.6</v>
      </c>
      <c r="HE82" s="166">
        <v>60.525000000000006</v>
      </c>
      <c r="HF82" s="166"/>
      <c r="HG82" s="166">
        <v>74.849999999999994</v>
      </c>
      <c r="HH82" s="166">
        <v>0</v>
      </c>
      <c r="HI82" s="166">
        <v>178</v>
      </c>
      <c r="HJ82" s="166">
        <v>178</v>
      </c>
      <c r="HK82" s="166">
        <v>177</v>
      </c>
      <c r="HL82" s="166">
        <v>1</v>
      </c>
      <c r="HM82" s="166">
        <v>2</v>
      </c>
      <c r="HN82" s="166">
        <v>0</v>
      </c>
      <c r="HO82" s="166">
        <v>1200</v>
      </c>
      <c r="HP82" s="166">
        <v>0</v>
      </c>
      <c r="HQ82" s="166">
        <v>600</v>
      </c>
      <c r="HR82" s="166">
        <v>600</v>
      </c>
      <c r="HS82" s="166">
        <v>1200</v>
      </c>
      <c r="HT82" s="166">
        <f>FY26_FE_Data_April15[[#This Row],[Oct 1, 2026 (CDC) - K]]+FY26_FE_Data_April15[[#This Row],[Oct 1, 2026 (CDC) - Grades 1-6]]+FY26_FE_Data_April15[[#This Row],[Oct 1, 2026 (CDC) - Grades 7-8]]</f>
        <v>600</v>
      </c>
      <c r="HU82" s="166">
        <v>0</v>
      </c>
      <c r="HW82" s="170"/>
      <c r="HY82" s="170"/>
    </row>
    <row r="83" spans="1:233" ht="52">
      <c r="A83" s="158" t="s">
        <v>461</v>
      </c>
      <c r="B83" s="159" t="s">
        <v>462</v>
      </c>
      <c r="C83" s="160" t="s">
        <v>463</v>
      </c>
      <c r="D83" s="160" t="s">
        <v>139</v>
      </c>
      <c r="E83" s="159" t="s">
        <v>784</v>
      </c>
      <c r="F83" s="159" t="s">
        <v>784</v>
      </c>
      <c r="G83" s="159"/>
      <c r="H83" s="161">
        <v>93.188888888888883</v>
      </c>
      <c r="I83" s="161">
        <v>1.0777777777777777</v>
      </c>
      <c r="J83" s="161">
        <v>94.266666666666666</v>
      </c>
      <c r="K83" s="162">
        <v>50</v>
      </c>
      <c r="L83" s="162">
        <v>313</v>
      </c>
      <c r="M83" s="162">
        <v>101</v>
      </c>
      <c r="N83" s="162">
        <v>0</v>
      </c>
      <c r="O83" s="162">
        <v>464</v>
      </c>
      <c r="P83" s="162">
        <v>414</v>
      </c>
      <c r="Q83" s="162">
        <v>464</v>
      </c>
      <c r="R83" s="162">
        <v>2</v>
      </c>
      <c r="S83" s="160">
        <v>46.283333333333331</v>
      </c>
      <c r="T83" s="160">
        <v>47.1</v>
      </c>
      <c r="U83" s="160">
        <v>48.294444444444444</v>
      </c>
      <c r="V83" s="160">
        <v>46.422222222222224</v>
      </c>
      <c r="W83" s="160">
        <v>52.172222222222224</v>
      </c>
      <c r="X83" s="160">
        <v>49.31666666666667</v>
      </c>
      <c r="Y83" s="160">
        <v>54.238888888888887</v>
      </c>
      <c r="Z83" s="160">
        <v>45.522222222222226</v>
      </c>
      <c r="AA83" s="160">
        <v>54.694444444444443</v>
      </c>
      <c r="AB83" s="160">
        <v>0</v>
      </c>
      <c r="AC83" s="160">
        <v>0</v>
      </c>
      <c r="AD83" s="160">
        <v>0</v>
      </c>
      <c r="AE83" s="160">
        <v>0</v>
      </c>
      <c r="AF83" s="160">
        <v>297.54444444444442</v>
      </c>
      <c r="AG83" s="160">
        <v>100.21666666666667</v>
      </c>
      <c r="AH83" s="160">
        <v>0</v>
      </c>
      <c r="AI83" s="160">
        <v>444.04444444444448</v>
      </c>
      <c r="AJ83" s="160">
        <v>397.76111111111112</v>
      </c>
      <c r="AK83" s="160">
        <v>444.04444444444448</v>
      </c>
      <c r="AL83" s="161">
        <v>90.583333333333329</v>
      </c>
      <c r="AM83" s="161">
        <v>0</v>
      </c>
      <c r="AN83" s="161">
        <v>90.583333333333329</v>
      </c>
      <c r="AO83" s="161">
        <v>444.04444444444448</v>
      </c>
      <c r="AP83" s="162">
        <v>33</v>
      </c>
      <c r="AQ83" s="168">
        <v>38</v>
      </c>
      <c r="AR83" s="160">
        <v>36</v>
      </c>
      <c r="AS83" s="160">
        <v>39</v>
      </c>
      <c r="AT83" s="160">
        <v>43</v>
      </c>
      <c r="AU83" s="160">
        <v>48</v>
      </c>
      <c r="AV83" s="160">
        <v>53</v>
      </c>
      <c r="AW83" s="160">
        <v>41</v>
      </c>
      <c r="AX83" s="160">
        <v>34</v>
      </c>
      <c r="AY83" s="160">
        <v>0</v>
      </c>
      <c r="AZ83" s="160">
        <v>0</v>
      </c>
      <c r="BA83" s="160">
        <v>0</v>
      </c>
      <c r="BB83" s="160">
        <v>0</v>
      </c>
      <c r="BC83" s="160">
        <v>257</v>
      </c>
      <c r="BD83" s="160">
        <v>75</v>
      </c>
      <c r="BE83" s="160">
        <v>0</v>
      </c>
      <c r="BF83" s="160">
        <v>365</v>
      </c>
      <c r="BG83" s="160">
        <v>332</v>
      </c>
      <c r="BH83" s="160">
        <v>365</v>
      </c>
      <c r="BI83" s="160">
        <v>33</v>
      </c>
      <c r="BJ83" s="160">
        <v>0</v>
      </c>
      <c r="BK83" s="160">
        <v>0</v>
      </c>
      <c r="BL83" s="160">
        <v>117</v>
      </c>
      <c r="BM83" s="160">
        <v>70</v>
      </c>
      <c r="BN83" s="162">
        <v>0</v>
      </c>
      <c r="BO83" s="162">
        <v>70</v>
      </c>
      <c r="BP83" s="162">
        <v>2</v>
      </c>
      <c r="BQ83" s="163">
        <v>7.1303546752648495E-2</v>
      </c>
      <c r="BR83" s="164">
        <v>27.31</v>
      </c>
      <c r="BS83" s="164">
        <v>25.21</v>
      </c>
      <c r="BT83" s="164">
        <v>24.21</v>
      </c>
      <c r="BU83" s="164">
        <v>29.310000000000002</v>
      </c>
      <c r="BV83" s="165">
        <v>0</v>
      </c>
      <c r="BW83" s="165">
        <v>0</v>
      </c>
      <c r="BX83" s="166">
        <v>0</v>
      </c>
      <c r="BY83" s="166">
        <v>0</v>
      </c>
      <c r="BZ83" s="166">
        <v>31.605554999999999</v>
      </c>
      <c r="CA83" s="166">
        <v>31.605555555555554</v>
      </c>
      <c r="CB83" s="166">
        <v>34.266666666666666</v>
      </c>
      <c r="CC83" s="166">
        <v>33.138888888888886</v>
      </c>
      <c r="CD83" s="166">
        <v>34.944444444444443</v>
      </c>
      <c r="CE83" s="166">
        <v>40.522222222222226</v>
      </c>
      <c r="CF83" s="166">
        <v>44.894444444444446</v>
      </c>
      <c r="CG83" s="166">
        <v>47.716666666666669</v>
      </c>
      <c r="CH83" s="166">
        <v>41.044444444444444</v>
      </c>
      <c r="CI83" s="166">
        <v>32.56111111111111</v>
      </c>
      <c r="CJ83" s="166">
        <v>0</v>
      </c>
      <c r="CK83" s="166">
        <v>0</v>
      </c>
      <c r="CL83" s="166">
        <v>0</v>
      </c>
      <c r="CM83" s="166">
        <v>0</v>
      </c>
      <c r="CN83" s="166">
        <v>235.48333333333332</v>
      </c>
      <c r="CO83" s="166">
        <v>73.605555555555554</v>
      </c>
      <c r="CP83" s="166">
        <v>0</v>
      </c>
      <c r="CQ83" s="166">
        <v>340.6944444444444</v>
      </c>
      <c r="CR83" s="166">
        <v>309.0888888888889</v>
      </c>
      <c r="CS83" s="166">
        <v>340.6944444444444</v>
      </c>
      <c r="CT83" s="166">
        <v>55.627777777777801</v>
      </c>
      <c r="CU83" s="166">
        <v>0.63333333333333297</v>
      </c>
      <c r="CV83" s="166">
        <v>56.261111111111134</v>
      </c>
      <c r="CW83" s="166">
        <v>341.32777777777773</v>
      </c>
      <c r="CX83" s="166">
        <v>0</v>
      </c>
      <c r="CY83" s="166">
        <v>26</v>
      </c>
      <c r="CZ83" s="165">
        <v>0</v>
      </c>
      <c r="DA83" s="165">
        <v>26</v>
      </c>
      <c r="DB83" s="165">
        <v>26</v>
      </c>
      <c r="DC83" s="165">
        <v>28</v>
      </c>
      <c r="DD83" s="165">
        <v>36</v>
      </c>
      <c r="DE83" s="165">
        <v>36</v>
      </c>
      <c r="DF83" s="165">
        <v>38</v>
      </c>
      <c r="DG83" s="165">
        <v>51</v>
      </c>
      <c r="DH83" s="165">
        <v>38</v>
      </c>
      <c r="DI83" s="165">
        <v>53</v>
      </c>
      <c r="DJ83" s="165">
        <v>0</v>
      </c>
      <c r="DK83" s="165">
        <v>0</v>
      </c>
      <c r="DL83" s="165">
        <v>0</v>
      </c>
      <c r="DM83" s="165">
        <v>0</v>
      </c>
      <c r="DN83" s="165">
        <v>215</v>
      </c>
      <c r="DO83" s="165">
        <v>91</v>
      </c>
      <c r="DP83" s="165">
        <v>0</v>
      </c>
      <c r="DQ83" s="165">
        <v>332</v>
      </c>
      <c r="DR83" s="165">
        <v>306</v>
      </c>
      <c r="DS83" s="165">
        <v>332</v>
      </c>
      <c r="DT83" s="165">
        <v>0</v>
      </c>
      <c r="DU83" s="165">
        <v>110</v>
      </c>
      <c r="DV83" s="165">
        <v>75</v>
      </c>
      <c r="DW83" s="165">
        <v>2</v>
      </c>
      <c r="DX83" s="165">
        <v>77</v>
      </c>
      <c r="DY83" s="165">
        <v>334</v>
      </c>
      <c r="DZ83" s="165">
        <v>10</v>
      </c>
      <c r="EA83" s="166">
        <v>25.1</v>
      </c>
      <c r="EB83" s="166">
        <v>23</v>
      </c>
      <c r="EC83" s="166">
        <v>15.300000000000002</v>
      </c>
      <c r="ED83" s="166">
        <v>5.7000000000000011</v>
      </c>
      <c r="EE83" s="166">
        <v>0</v>
      </c>
      <c r="EF83" s="166">
        <v>26.1</v>
      </c>
      <c r="EG83" s="167">
        <v>6.2986192143134945E-2</v>
      </c>
      <c r="EH83" s="165"/>
      <c r="EI83" s="165">
        <v>25</v>
      </c>
      <c r="EJ83" s="165">
        <v>307</v>
      </c>
      <c r="EK83" s="165">
        <v>218</v>
      </c>
      <c r="EL83" s="165">
        <v>89</v>
      </c>
      <c r="EM83" s="165">
        <v>0</v>
      </c>
      <c r="EN83" s="165">
        <v>332</v>
      </c>
      <c r="EO83" s="165">
        <v>0</v>
      </c>
      <c r="EP83" s="165">
        <v>85</v>
      </c>
      <c r="EQ83" s="165">
        <v>85</v>
      </c>
      <c r="ER83" s="165">
        <v>83</v>
      </c>
      <c r="ES83" s="165">
        <v>2</v>
      </c>
      <c r="ET83" s="165">
        <v>17</v>
      </c>
      <c r="EU83" s="166">
        <v>5.5</v>
      </c>
      <c r="EV83" s="166">
        <v>0</v>
      </c>
      <c r="EW83" s="166">
        <v>2</v>
      </c>
      <c r="EX83" s="166">
        <v>2</v>
      </c>
      <c r="EY83" s="166">
        <v>4.5</v>
      </c>
      <c r="EZ83" s="166">
        <v>14</v>
      </c>
      <c r="FA83" s="166">
        <v>0</v>
      </c>
      <c r="FB83" s="166">
        <v>23.933333333333334</v>
      </c>
      <c r="FC83" s="166">
        <v>23.933333333333334</v>
      </c>
      <c r="FD83" s="166">
        <v>25.855555555555554</v>
      </c>
      <c r="FE83" s="166">
        <v>24.722222222222221</v>
      </c>
      <c r="FF83" s="166">
        <v>34.416666666666664</v>
      </c>
      <c r="FG83" s="166">
        <v>32.677777777777777</v>
      </c>
      <c r="FH83" s="166">
        <v>34.93333333333333</v>
      </c>
      <c r="FI83" s="166">
        <v>50.172222222222224</v>
      </c>
      <c r="FJ83" s="166">
        <v>36.555555555555557</v>
      </c>
      <c r="FK83" s="166">
        <v>47.45</v>
      </c>
      <c r="FL83" s="166">
        <v>0</v>
      </c>
      <c r="FM83" s="166">
        <v>0</v>
      </c>
      <c r="FN83" s="166">
        <v>0</v>
      </c>
      <c r="FO83" s="166">
        <v>0</v>
      </c>
      <c r="FP83" s="166">
        <v>202.77777777777777</v>
      </c>
      <c r="FQ83" s="166">
        <v>84.00555555555556</v>
      </c>
      <c r="FR83" s="166">
        <v>0</v>
      </c>
      <c r="FS83" s="166">
        <v>310.71666666666664</v>
      </c>
      <c r="FT83" s="166">
        <v>286.7833333333333</v>
      </c>
      <c r="FU83" s="166">
        <v>310.71666666666664</v>
      </c>
      <c r="FV83" s="166">
        <v>77.838888888888889</v>
      </c>
      <c r="FW83" s="166">
        <v>2.2388888888888889</v>
      </c>
      <c r="FX83" s="166">
        <v>80.077777777777783</v>
      </c>
      <c r="FY83" s="166">
        <v>312.95555555555552</v>
      </c>
      <c r="FZ83" s="165">
        <v>0</v>
      </c>
      <c r="GA83" s="165">
        <v>28</v>
      </c>
      <c r="GB83" s="165">
        <v>28</v>
      </c>
      <c r="GC83" s="165">
        <v>22</v>
      </c>
      <c r="GD83" s="165">
        <v>27</v>
      </c>
      <c r="GE83" s="165">
        <v>20</v>
      </c>
      <c r="GF83" s="165">
        <v>36</v>
      </c>
      <c r="GG83" s="165">
        <v>30</v>
      </c>
      <c r="GH83" s="165">
        <v>36</v>
      </c>
      <c r="GI83" s="165">
        <v>54</v>
      </c>
      <c r="GJ83" s="165">
        <v>26</v>
      </c>
      <c r="GK83" s="165">
        <v>0</v>
      </c>
      <c r="GL83" s="165">
        <v>0</v>
      </c>
      <c r="GM83" s="165">
        <v>0</v>
      </c>
      <c r="GN83" s="165">
        <v>0</v>
      </c>
      <c r="GO83" s="165">
        <v>171</v>
      </c>
      <c r="GP83" s="165">
        <v>80</v>
      </c>
      <c r="GQ83" s="165">
        <v>0</v>
      </c>
      <c r="GR83" s="165">
        <v>279</v>
      </c>
      <c r="GS83" s="165">
        <v>251</v>
      </c>
      <c r="GT83" s="165">
        <v>279</v>
      </c>
      <c r="GU83" s="165">
        <v>0</v>
      </c>
      <c r="GV83" s="165">
        <v>116</v>
      </c>
      <c r="GW83" s="165">
        <v>68</v>
      </c>
      <c r="GX83" s="165">
        <v>3</v>
      </c>
      <c r="GY83" s="165">
        <v>71</v>
      </c>
      <c r="GZ83" s="165">
        <v>282</v>
      </c>
      <c r="HA83" s="165">
        <v>6</v>
      </c>
      <c r="HB83" s="166">
        <v>22.1</v>
      </c>
      <c r="HC83" s="166">
        <v>20.25</v>
      </c>
      <c r="HD83" s="166">
        <v>11.88</v>
      </c>
      <c r="HE83" s="166">
        <v>7.4700000000000006</v>
      </c>
      <c r="HF83" s="166"/>
      <c r="HG83" s="166">
        <v>22.1</v>
      </c>
      <c r="HH83" s="166">
        <v>0</v>
      </c>
      <c r="HI83" s="166">
        <v>69</v>
      </c>
      <c r="HJ83" s="166">
        <v>69</v>
      </c>
      <c r="HK83" s="166">
        <v>66</v>
      </c>
      <c r="HL83" s="166">
        <v>3</v>
      </c>
      <c r="HM83" s="166">
        <v>1</v>
      </c>
      <c r="HN83" s="166">
        <v>28</v>
      </c>
      <c r="HO83" s="166">
        <v>251</v>
      </c>
      <c r="HP83" s="166">
        <v>173</v>
      </c>
      <c r="HQ83" s="166">
        <v>78</v>
      </c>
      <c r="HR83" s="166">
        <v>0</v>
      </c>
      <c r="HS83" s="166">
        <v>279</v>
      </c>
      <c r="HT83" s="166">
        <f>FY26_FE_Data_April15[[#This Row],[Oct 1, 2026 (CDC) - K]]+FY26_FE_Data_April15[[#This Row],[Oct 1, 2026 (CDC) - Grades 1-6]]+FY26_FE_Data_April15[[#This Row],[Oct 1, 2026 (CDC) - Grades 7-8]]</f>
        <v>279</v>
      </c>
      <c r="HU83" s="166">
        <v>0</v>
      </c>
      <c r="HW83" s="170"/>
      <c r="HY83" s="170"/>
    </row>
    <row r="84" spans="1:233" ht="52">
      <c r="A84" s="158" t="s">
        <v>464</v>
      </c>
      <c r="B84" s="159" t="s">
        <v>465</v>
      </c>
      <c r="C84" s="160" t="s">
        <v>466</v>
      </c>
      <c r="D84" s="160" t="s">
        <v>139</v>
      </c>
      <c r="E84" s="159" t="s">
        <v>784</v>
      </c>
      <c r="F84" s="159" t="s">
        <v>784</v>
      </c>
      <c r="G84" s="159"/>
      <c r="H84" s="161">
        <v>41.333333333333336</v>
      </c>
      <c r="I84" s="161">
        <v>0</v>
      </c>
      <c r="J84" s="161">
        <v>41.333333333333336</v>
      </c>
      <c r="K84" s="162">
        <v>57</v>
      </c>
      <c r="L84" s="162">
        <v>284</v>
      </c>
      <c r="M84" s="162">
        <v>126</v>
      </c>
      <c r="N84" s="162">
        <v>168</v>
      </c>
      <c r="O84" s="162">
        <v>635</v>
      </c>
      <c r="P84" s="162">
        <v>578</v>
      </c>
      <c r="Q84" s="162">
        <v>467</v>
      </c>
      <c r="R84" s="162">
        <v>0</v>
      </c>
      <c r="S84" s="160">
        <v>60.322222222222223</v>
      </c>
      <c r="T84" s="160">
        <v>43.827777777777776</v>
      </c>
      <c r="U84" s="160">
        <v>46.366666666666667</v>
      </c>
      <c r="V84" s="160">
        <v>45.31666666666667</v>
      </c>
      <c r="W84" s="160">
        <v>27.127777777777776</v>
      </c>
      <c r="X84" s="160">
        <v>43.227777777777774</v>
      </c>
      <c r="Y84" s="160">
        <v>69.972222222222229</v>
      </c>
      <c r="Z84" s="160">
        <v>71.294444444444451</v>
      </c>
      <c r="AA84" s="160">
        <v>52.272222222222226</v>
      </c>
      <c r="AB84" s="160">
        <v>68.361111111111114</v>
      </c>
      <c r="AC84" s="160">
        <v>51.894444444444446</v>
      </c>
      <c r="AD84" s="160">
        <v>25.588888888888889</v>
      </c>
      <c r="AE84" s="160">
        <v>18.56111111111111</v>
      </c>
      <c r="AF84" s="160">
        <v>275.8388888888889</v>
      </c>
      <c r="AG84" s="160">
        <v>123.56666666666668</v>
      </c>
      <c r="AH84" s="160">
        <v>164.40555555555554</v>
      </c>
      <c r="AI84" s="160">
        <v>459.72777777777776</v>
      </c>
      <c r="AJ84" s="160">
        <v>563.81111111111102</v>
      </c>
      <c r="AK84" s="160">
        <v>624.13333333333333</v>
      </c>
      <c r="AL84" s="161">
        <v>51.538888888888891</v>
      </c>
      <c r="AM84" s="161">
        <v>0</v>
      </c>
      <c r="AN84" s="161">
        <v>51.538888888888891</v>
      </c>
      <c r="AO84" s="161">
        <v>624.13333333333333</v>
      </c>
      <c r="AP84" s="162">
        <v>61</v>
      </c>
      <c r="AQ84" s="168">
        <v>71</v>
      </c>
      <c r="AR84" s="160">
        <v>56</v>
      </c>
      <c r="AS84" s="160">
        <v>68</v>
      </c>
      <c r="AT84" s="160">
        <v>55</v>
      </c>
      <c r="AU84" s="160">
        <v>49</v>
      </c>
      <c r="AV84" s="160">
        <v>83</v>
      </c>
      <c r="AW84" s="160">
        <v>76</v>
      </c>
      <c r="AX84" s="160">
        <v>72</v>
      </c>
      <c r="AY84" s="160">
        <v>47</v>
      </c>
      <c r="AZ84" s="160">
        <v>63</v>
      </c>
      <c r="BA84" s="160">
        <v>36</v>
      </c>
      <c r="BB84" s="160">
        <v>23</v>
      </c>
      <c r="BC84" s="160">
        <v>382</v>
      </c>
      <c r="BD84" s="160">
        <v>148</v>
      </c>
      <c r="BE84" s="160">
        <v>169</v>
      </c>
      <c r="BF84" s="160">
        <v>591</v>
      </c>
      <c r="BG84" s="160">
        <v>699</v>
      </c>
      <c r="BH84" s="160">
        <v>760</v>
      </c>
      <c r="BI84" s="160">
        <v>61</v>
      </c>
      <c r="BJ84" s="160">
        <v>0</v>
      </c>
      <c r="BK84" s="160">
        <v>3</v>
      </c>
      <c r="BL84" s="160">
        <v>200</v>
      </c>
      <c r="BM84" s="160">
        <v>72</v>
      </c>
      <c r="BN84" s="162">
        <v>1</v>
      </c>
      <c r="BO84" s="162">
        <v>73</v>
      </c>
      <c r="BP84" s="162">
        <v>83</v>
      </c>
      <c r="BQ84" s="163">
        <v>6.8402777777777812E-2</v>
      </c>
      <c r="BR84" s="164">
        <v>56.85</v>
      </c>
      <c r="BS84" s="164">
        <v>53.850000000000009</v>
      </c>
      <c r="BT84" s="164">
        <v>53.850000000000009</v>
      </c>
      <c r="BU84" s="164">
        <v>57.849999999999994</v>
      </c>
      <c r="BV84" s="165">
        <v>0</v>
      </c>
      <c r="BW84" s="165">
        <v>0</v>
      </c>
      <c r="BX84" s="166">
        <v>0</v>
      </c>
      <c r="BY84" s="166">
        <v>0</v>
      </c>
      <c r="BZ84" s="166">
        <v>61.622222000000001</v>
      </c>
      <c r="CA84" s="166">
        <v>61.62222222222222</v>
      </c>
      <c r="CB84" s="166">
        <v>70.12222222222222</v>
      </c>
      <c r="CC84" s="166">
        <v>54.411111111111111</v>
      </c>
      <c r="CD84" s="166">
        <v>65.188888888888883</v>
      </c>
      <c r="CE84" s="166">
        <v>56.961111111111109</v>
      </c>
      <c r="CF84" s="166">
        <v>49.227777777777774</v>
      </c>
      <c r="CG84" s="166">
        <v>81.36666666666666</v>
      </c>
      <c r="CH84" s="166">
        <v>73.650000000000006</v>
      </c>
      <c r="CI84" s="166">
        <v>71.45</v>
      </c>
      <c r="CJ84" s="166">
        <v>46.116666666666667</v>
      </c>
      <c r="CK84" s="166">
        <v>59.055555555555557</v>
      </c>
      <c r="CL84" s="166">
        <v>36.233333333333334</v>
      </c>
      <c r="CM84" s="166">
        <v>22.56111111111111</v>
      </c>
      <c r="CN84" s="166">
        <v>377.27777777777777</v>
      </c>
      <c r="CO84" s="166">
        <v>145.10000000000002</v>
      </c>
      <c r="CP84" s="166">
        <v>163.96666666666667</v>
      </c>
      <c r="CQ84" s="166">
        <v>584</v>
      </c>
      <c r="CR84" s="166">
        <v>686.34444444444455</v>
      </c>
      <c r="CS84" s="166">
        <v>747.9666666666667</v>
      </c>
      <c r="CT84" s="166">
        <v>67.244444444444397</v>
      </c>
      <c r="CU84" s="166">
        <v>1</v>
      </c>
      <c r="CV84" s="166">
        <v>68.244444444444397</v>
      </c>
      <c r="CW84" s="166">
        <v>748.9666666666667</v>
      </c>
      <c r="CX84" s="166">
        <v>0</v>
      </c>
      <c r="CY84" s="166">
        <v>66</v>
      </c>
      <c r="CZ84" s="165">
        <v>0</v>
      </c>
      <c r="DA84" s="165">
        <v>66</v>
      </c>
      <c r="DB84" s="165">
        <v>75</v>
      </c>
      <c r="DC84" s="165">
        <v>83</v>
      </c>
      <c r="DD84" s="165">
        <v>69</v>
      </c>
      <c r="DE84" s="165">
        <v>72</v>
      </c>
      <c r="DF84" s="165">
        <v>70</v>
      </c>
      <c r="DG84" s="165">
        <v>82</v>
      </c>
      <c r="DH84" s="165">
        <v>95</v>
      </c>
      <c r="DI84" s="165">
        <v>70</v>
      </c>
      <c r="DJ84" s="165">
        <v>55</v>
      </c>
      <c r="DK84" s="165">
        <v>40</v>
      </c>
      <c r="DL84" s="165">
        <v>49</v>
      </c>
      <c r="DM84" s="165">
        <v>35</v>
      </c>
      <c r="DN84" s="165">
        <v>451</v>
      </c>
      <c r="DO84" s="165">
        <v>165</v>
      </c>
      <c r="DP84" s="165">
        <v>179</v>
      </c>
      <c r="DQ84" s="165">
        <v>682</v>
      </c>
      <c r="DR84" s="165">
        <v>795</v>
      </c>
      <c r="DS84" s="165">
        <v>861</v>
      </c>
      <c r="DT84" s="165">
        <v>0</v>
      </c>
      <c r="DU84" s="165">
        <v>191</v>
      </c>
      <c r="DV84" s="165">
        <v>75</v>
      </c>
      <c r="DW84" s="165">
        <v>5</v>
      </c>
      <c r="DX84" s="165">
        <v>80</v>
      </c>
      <c r="DY84" s="165">
        <v>866</v>
      </c>
      <c r="DZ84" s="165">
        <v>94</v>
      </c>
      <c r="EA84" s="166">
        <v>60.919999999999995</v>
      </c>
      <c r="EB84" s="166">
        <v>57.919999999999995</v>
      </c>
      <c r="EC84" s="166">
        <v>26.76</v>
      </c>
      <c r="ED84" s="166">
        <v>23.950000000000006</v>
      </c>
      <c r="EE84" s="166">
        <v>0</v>
      </c>
      <c r="EF84" s="166">
        <v>61.919999999999995</v>
      </c>
      <c r="EG84" s="167">
        <v>6.8318756073858122E-2</v>
      </c>
      <c r="EH84" s="165"/>
      <c r="EI84" s="165">
        <v>66</v>
      </c>
      <c r="EJ84" s="165">
        <v>787</v>
      </c>
      <c r="EK84" s="165">
        <v>432</v>
      </c>
      <c r="EL84" s="165">
        <v>140</v>
      </c>
      <c r="EM84" s="165">
        <v>215</v>
      </c>
      <c r="EN84" s="165">
        <v>853</v>
      </c>
      <c r="EO84" s="165">
        <v>0</v>
      </c>
      <c r="EP84" s="165">
        <v>68</v>
      </c>
      <c r="EQ84" s="165">
        <v>68</v>
      </c>
      <c r="ER84" s="165">
        <v>63</v>
      </c>
      <c r="ES84" s="165">
        <v>5</v>
      </c>
      <c r="ET84" s="165">
        <v>0</v>
      </c>
      <c r="EU84" s="166">
        <v>11.3</v>
      </c>
      <c r="EV84" s="166">
        <v>0</v>
      </c>
      <c r="EW84" s="166">
        <v>5</v>
      </c>
      <c r="EX84" s="166">
        <v>0</v>
      </c>
      <c r="EY84" s="166">
        <v>1.9</v>
      </c>
      <c r="EZ84" s="166">
        <v>18.2</v>
      </c>
      <c r="FA84" s="166">
        <v>0</v>
      </c>
      <c r="FB84" s="166">
        <v>65.844444444444449</v>
      </c>
      <c r="FC84" s="166">
        <v>65.844444444444449</v>
      </c>
      <c r="FD84" s="166">
        <v>73.966666666666669</v>
      </c>
      <c r="FE84" s="166">
        <v>81.849999999999994</v>
      </c>
      <c r="FF84" s="166">
        <v>65.955555555555549</v>
      </c>
      <c r="FG84" s="166">
        <v>70.433333333333337</v>
      </c>
      <c r="FH84" s="166">
        <v>68.849999999999994</v>
      </c>
      <c r="FI84" s="166">
        <v>75.416666666666671</v>
      </c>
      <c r="FJ84" s="166">
        <v>91.705555555555549</v>
      </c>
      <c r="FK84" s="166">
        <v>67.588888888888889</v>
      </c>
      <c r="FL84" s="166">
        <v>55.427777777777777</v>
      </c>
      <c r="FM84" s="166">
        <v>36.405555555555559</v>
      </c>
      <c r="FN84" s="166">
        <v>48.211111111111109</v>
      </c>
      <c r="FO84" s="166">
        <v>34.755555555555553</v>
      </c>
      <c r="FP84" s="166">
        <v>436.47222222222223</v>
      </c>
      <c r="FQ84" s="166">
        <v>159.29444444444442</v>
      </c>
      <c r="FR84" s="166">
        <v>174.8</v>
      </c>
      <c r="FS84" s="166">
        <v>661.61111111111109</v>
      </c>
      <c r="FT84" s="166">
        <v>770.56666666666672</v>
      </c>
      <c r="FU84" s="166">
        <v>836.41111111111115</v>
      </c>
      <c r="FV84" s="166">
        <v>51.211111111111109</v>
      </c>
      <c r="FW84" s="166">
        <v>3.8055555555555554</v>
      </c>
      <c r="FX84" s="166">
        <v>55.016666666666666</v>
      </c>
      <c r="FY84" s="166">
        <v>840.2166666666667</v>
      </c>
      <c r="FZ84" s="165">
        <v>0</v>
      </c>
      <c r="GA84" s="165">
        <v>75</v>
      </c>
      <c r="GB84" s="165">
        <v>75</v>
      </c>
      <c r="GC84" s="165">
        <v>74</v>
      </c>
      <c r="GD84" s="165">
        <v>80</v>
      </c>
      <c r="GE84" s="165">
        <v>91</v>
      </c>
      <c r="GF84" s="165">
        <v>72</v>
      </c>
      <c r="GG84" s="165">
        <v>71</v>
      </c>
      <c r="GH84" s="165">
        <v>94</v>
      </c>
      <c r="GI84" s="165">
        <v>74</v>
      </c>
      <c r="GJ84" s="165">
        <v>84</v>
      </c>
      <c r="GK84" s="165">
        <v>54</v>
      </c>
      <c r="GL84" s="165">
        <v>48</v>
      </c>
      <c r="GM84" s="165">
        <v>30</v>
      </c>
      <c r="GN84" s="165">
        <v>46</v>
      </c>
      <c r="GO84" s="165">
        <v>482</v>
      </c>
      <c r="GP84" s="165">
        <v>158</v>
      </c>
      <c r="GQ84" s="165">
        <v>178</v>
      </c>
      <c r="GR84" s="165">
        <v>715</v>
      </c>
      <c r="GS84" s="165">
        <v>818</v>
      </c>
      <c r="GT84" s="165">
        <v>893</v>
      </c>
      <c r="GU84" s="165">
        <v>2</v>
      </c>
      <c r="GV84" s="165">
        <v>158</v>
      </c>
      <c r="GW84" s="165">
        <v>63</v>
      </c>
      <c r="GX84" s="165">
        <v>3</v>
      </c>
      <c r="GY84" s="165">
        <v>66</v>
      </c>
      <c r="GZ84" s="165">
        <v>896</v>
      </c>
      <c r="HA84" s="165">
        <v>104</v>
      </c>
      <c r="HB84" s="166">
        <v>64.259999999999991</v>
      </c>
      <c r="HC84" s="166">
        <v>59.269999999999996</v>
      </c>
      <c r="HD84" s="166">
        <v>27.25</v>
      </c>
      <c r="HE84" s="166">
        <v>23.690000000000005</v>
      </c>
      <c r="HF84" s="166"/>
      <c r="HG84" s="166">
        <v>65.260000000000005</v>
      </c>
      <c r="HH84" s="166">
        <v>0</v>
      </c>
      <c r="HI84" s="166">
        <v>69</v>
      </c>
      <c r="HJ84" s="166">
        <v>69</v>
      </c>
      <c r="HK84" s="166">
        <v>65</v>
      </c>
      <c r="HL84" s="166">
        <v>4</v>
      </c>
      <c r="HM84" s="166">
        <v>0</v>
      </c>
      <c r="HN84" s="166">
        <v>74</v>
      </c>
      <c r="HO84" s="166">
        <v>889</v>
      </c>
      <c r="HP84" s="166">
        <v>445</v>
      </c>
      <c r="HQ84" s="166">
        <v>148</v>
      </c>
      <c r="HR84" s="166">
        <v>296</v>
      </c>
      <c r="HS84" s="166">
        <v>963</v>
      </c>
      <c r="HT84" s="166">
        <f>FY26_FE_Data_April15[[#This Row],[Oct 1, 2026 (CDC) - K]]+FY26_FE_Data_April15[[#This Row],[Oct 1, 2026 (CDC) - Grades 1-6]]+FY26_FE_Data_April15[[#This Row],[Oct 1, 2026 (CDC) - Grades 7-8]]</f>
        <v>667</v>
      </c>
      <c r="HU84" s="166">
        <v>0</v>
      </c>
      <c r="HW84" s="170"/>
      <c r="HY84" s="170"/>
    </row>
    <row r="85" spans="1:233" ht="26">
      <c r="A85" s="158" t="s">
        <v>467</v>
      </c>
      <c r="B85" s="159" t="s">
        <v>468</v>
      </c>
      <c r="C85" s="160" t="s">
        <v>469</v>
      </c>
      <c r="D85" s="160" t="s">
        <v>139</v>
      </c>
      <c r="E85" s="159" t="s">
        <v>784</v>
      </c>
      <c r="F85" s="159" t="s">
        <v>784</v>
      </c>
      <c r="G85" s="159"/>
      <c r="H85" s="161">
        <v>138.71111111111111</v>
      </c>
      <c r="I85" s="161">
        <v>3.9666666666666668</v>
      </c>
      <c r="J85" s="161">
        <v>142.67777777777778</v>
      </c>
      <c r="K85" s="162">
        <v>127</v>
      </c>
      <c r="L85" s="162">
        <v>727</v>
      </c>
      <c r="M85" s="162">
        <v>202</v>
      </c>
      <c r="N85" s="162">
        <v>0</v>
      </c>
      <c r="O85" s="162">
        <v>1056</v>
      </c>
      <c r="P85" s="162">
        <v>929</v>
      </c>
      <c r="Q85" s="162">
        <v>1056</v>
      </c>
      <c r="R85" s="162">
        <v>5</v>
      </c>
      <c r="S85" s="160">
        <v>128.70555555555555</v>
      </c>
      <c r="T85" s="160">
        <v>118.78333333333333</v>
      </c>
      <c r="U85" s="160">
        <v>123.12222222222222</v>
      </c>
      <c r="V85" s="160">
        <v>123.75555555555556</v>
      </c>
      <c r="W85" s="160">
        <v>124.18333333333334</v>
      </c>
      <c r="X85" s="160">
        <v>117.30555555555556</v>
      </c>
      <c r="Y85" s="160">
        <v>116.22222222222223</v>
      </c>
      <c r="Z85" s="160">
        <v>101.67777777777778</v>
      </c>
      <c r="AA85" s="160">
        <v>95.644444444444446</v>
      </c>
      <c r="AB85" s="160">
        <v>0</v>
      </c>
      <c r="AC85" s="160">
        <v>0</v>
      </c>
      <c r="AD85" s="160">
        <v>0</v>
      </c>
      <c r="AE85" s="160">
        <v>0</v>
      </c>
      <c r="AF85" s="160">
        <v>723.37222222222226</v>
      </c>
      <c r="AG85" s="160">
        <v>197.32222222222222</v>
      </c>
      <c r="AH85" s="160">
        <v>0</v>
      </c>
      <c r="AI85" s="160">
        <v>1049.4000000000001</v>
      </c>
      <c r="AJ85" s="160">
        <v>920.69444444444457</v>
      </c>
      <c r="AK85" s="160">
        <v>1049.4000000000001</v>
      </c>
      <c r="AL85" s="161">
        <v>159.60555555555555</v>
      </c>
      <c r="AM85" s="161">
        <v>5.8111111111111109</v>
      </c>
      <c r="AN85" s="161">
        <v>165.41666666666666</v>
      </c>
      <c r="AO85" s="161">
        <v>1055.2111111111112</v>
      </c>
      <c r="AP85" s="162">
        <v>137</v>
      </c>
      <c r="AQ85" s="168">
        <v>122</v>
      </c>
      <c r="AR85" s="160">
        <v>121</v>
      </c>
      <c r="AS85" s="160">
        <v>120</v>
      </c>
      <c r="AT85" s="160">
        <v>121</v>
      </c>
      <c r="AU85" s="160">
        <v>122</v>
      </c>
      <c r="AV85" s="160">
        <v>120</v>
      </c>
      <c r="AW85" s="160">
        <v>108</v>
      </c>
      <c r="AX85" s="160">
        <v>102</v>
      </c>
      <c r="AY85" s="160">
        <v>0</v>
      </c>
      <c r="AZ85" s="160">
        <v>0</v>
      </c>
      <c r="BA85" s="160">
        <v>0</v>
      </c>
      <c r="BB85" s="160">
        <v>0</v>
      </c>
      <c r="BC85" s="160">
        <v>726</v>
      </c>
      <c r="BD85" s="160">
        <v>210</v>
      </c>
      <c r="BE85" s="160">
        <v>0</v>
      </c>
      <c r="BF85" s="160">
        <v>1073</v>
      </c>
      <c r="BG85" s="160">
        <v>936</v>
      </c>
      <c r="BH85" s="160">
        <v>1073</v>
      </c>
      <c r="BI85" s="160">
        <v>122</v>
      </c>
      <c r="BJ85" s="160">
        <v>15</v>
      </c>
      <c r="BK85" s="160">
        <v>0</v>
      </c>
      <c r="BL85" s="160">
        <v>595</v>
      </c>
      <c r="BM85" s="160">
        <v>176</v>
      </c>
      <c r="BN85" s="162">
        <v>8</v>
      </c>
      <c r="BO85" s="162">
        <v>184</v>
      </c>
      <c r="BP85" s="162">
        <v>267</v>
      </c>
      <c r="BQ85" s="163">
        <v>6.4568805957300413E-2</v>
      </c>
      <c r="BR85" s="164">
        <v>54.921999999999997</v>
      </c>
      <c r="BS85" s="164">
        <v>51.921999999999997</v>
      </c>
      <c r="BT85" s="164">
        <v>51.153999999999996</v>
      </c>
      <c r="BU85" s="164">
        <v>56.154000000000003</v>
      </c>
      <c r="BV85" s="165">
        <v>0</v>
      </c>
      <c r="BW85" s="165">
        <v>0</v>
      </c>
      <c r="BX85" s="166">
        <v>0</v>
      </c>
      <c r="BY85" s="166">
        <v>16.383333</v>
      </c>
      <c r="BZ85" s="166">
        <v>116.91111100000001</v>
      </c>
      <c r="CA85" s="166">
        <v>133.29444444444445</v>
      </c>
      <c r="CB85" s="166">
        <v>120.31666666666666</v>
      </c>
      <c r="CC85" s="166">
        <v>118.03888888888889</v>
      </c>
      <c r="CD85" s="166">
        <v>118.21666666666667</v>
      </c>
      <c r="CE85" s="166">
        <v>119.38888888888889</v>
      </c>
      <c r="CF85" s="166">
        <v>120.56111111111112</v>
      </c>
      <c r="CG85" s="166">
        <v>117.08333333333333</v>
      </c>
      <c r="CH85" s="166">
        <v>105.19444444444444</v>
      </c>
      <c r="CI85" s="166">
        <v>100.05</v>
      </c>
      <c r="CJ85" s="166">
        <v>0</v>
      </c>
      <c r="CK85" s="166">
        <v>0</v>
      </c>
      <c r="CL85" s="166">
        <v>0</v>
      </c>
      <c r="CM85" s="166">
        <v>0</v>
      </c>
      <c r="CN85" s="166">
        <v>713.60555555555561</v>
      </c>
      <c r="CO85" s="166">
        <v>205.24444444444444</v>
      </c>
      <c r="CP85" s="166">
        <v>0</v>
      </c>
      <c r="CQ85" s="166">
        <v>1052.1444444444446</v>
      </c>
      <c r="CR85" s="166">
        <v>918.85</v>
      </c>
      <c r="CS85" s="166">
        <v>1052.1444444444446</v>
      </c>
      <c r="CT85" s="166">
        <v>179.07777777777801</v>
      </c>
      <c r="CU85" s="166">
        <v>10.3722222222222</v>
      </c>
      <c r="CV85" s="166">
        <v>189.45000000000022</v>
      </c>
      <c r="CW85" s="166">
        <v>1062.5166666666669</v>
      </c>
      <c r="CX85" s="166">
        <v>0</v>
      </c>
      <c r="CY85" s="166">
        <v>124</v>
      </c>
      <c r="CZ85" s="165">
        <v>15</v>
      </c>
      <c r="DA85" s="165">
        <v>139</v>
      </c>
      <c r="DB85" s="165">
        <v>127</v>
      </c>
      <c r="DC85" s="165">
        <v>117</v>
      </c>
      <c r="DD85" s="165">
        <v>120</v>
      </c>
      <c r="DE85" s="165">
        <v>120</v>
      </c>
      <c r="DF85" s="165">
        <v>120</v>
      </c>
      <c r="DG85" s="165">
        <v>115</v>
      </c>
      <c r="DH85" s="165">
        <v>100</v>
      </c>
      <c r="DI85" s="165">
        <v>96</v>
      </c>
      <c r="DJ85" s="165">
        <v>0</v>
      </c>
      <c r="DK85" s="165">
        <v>0</v>
      </c>
      <c r="DL85" s="165">
        <v>0</v>
      </c>
      <c r="DM85" s="165">
        <v>0</v>
      </c>
      <c r="DN85" s="165">
        <v>719</v>
      </c>
      <c r="DO85" s="165">
        <v>196</v>
      </c>
      <c r="DP85" s="165">
        <v>0</v>
      </c>
      <c r="DQ85" s="165">
        <v>1054</v>
      </c>
      <c r="DR85" s="165">
        <v>915</v>
      </c>
      <c r="DS85" s="165">
        <v>1054</v>
      </c>
      <c r="DT85" s="165">
        <v>0</v>
      </c>
      <c r="DU85" s="165">
        <v>536</v>
      </c>
      <c r="DV85" s="165">
        <v>136</v>
      </c>
      <c r="DW85" s="165">
        <v>11</v>
      </c>
      <c r="DX85" s="165">
        <v>147</v>
      </c>
      <c r="DY85" s="165">
        <v>1065</v>
      </c>
      <c r="DZ85" s="165">
        <v>248</v>
      </c>
      <c r="EA85" s="166">
        <v>59</v>
      </c>
      <c r="EB85" s="166">
        <v>55</v>
      </c>
      <c r="EC85" s="166">
        <v>43.440000000000005</v>
      </c>
      <c r="ED85" s="166">
        <v>11.56</v>
      </c>
      <c r="EE85" s="166">
        <v>0</v>
      </c>
      <c r="EF85" s="166">
        <v>59</v>
      </c>
      <c r="EG85" s="167">
        <v>5.7350182918902981E-2</v>
      </c>
      <c r="EH85" s="165"/>
      <c r="EI85" s="165">
        <v>122</v>
      </c>
      <c r="EJ85" s="165">
        <v>923</v>
      </c>
      <c r="EK85" s="165">
        <v>727</v>
      </c>
      <c r="EL85" s="165">
        <v>196</v>
      </c>
      <c r="EM85" s="165">
        <v>0</v>
      </c>
      <c r="EN85" s="165">
        <v>1045</v>
      </c>
      <c r="EO85" s="165">
        <v>0</v>
      </c>
      <c r="EP85" s="165">
        <v>190</v>
      </c>
      <c r="EQ85" s="165">
        <v>190</v>
      </c>
      <c r="ER85" s="165">
        <v>175</v>
      </c>
      <c r="ES85" s="165">
        <v>15</v>
      </c>
      <c r="ET85" s="165">
        <v>4</v>
      </c>
      <c r="EU85" s="166">
        <v>43.9</v>
      </c>
      <c r="EV85" s="166">
        <v>1.44</v>
      </c>
      <c r="EW85" s="166">
        <v>3.72</v>
      </c>
      <c r="EX85" s="166">
        <v>3</v>
      </c>
      <c r="EY85" s="166">
        <v>5.32</v>
      </c>
      <c r="EZ85" s="166">
        <v>57.379999999999995</v>
      </c>
      <c r="FA85" s="166">
        <v>14.683333333333334</v>
      </c>
      <c r="FB85" s="166">
        <v>121.51111111111111</v>
      </c>
      <c r="FC85" s="166">
        <v>136.19444444444446</v>
      </c>
      <c r="FD85" s="166">
        <v>122.23888888888889</v>
      </c>
      <c r="FE85" s="166">
        <v>116.73888888888889</v>
      </c>
      <c r="FF85" s="166">
        <v>119.87777777777778</v>
      </c>
      <c r="FG85" s="166">
        <v>119.95555555555555</v>
      </c>
      <c r="FH85" s="166">
        <v>120.1</v>
      </c>
      <c r="FI85" s="166">
        <v>113.24444444444444</v>
      </c>
      <c r="FJ85" s="166">
        <v>94.672222222222217</v>
      </c>
      <c r="FK85" s="166">
        <v>93.172222222222217</v>
      </c>
      <c r="FL85" s="166">
        <v>0</v>
      </c>
      <c r="FM85" s="166">
        <v>0</v>
      </c>
      <c r="FN85" s="166">
        <v>0</v>
      </c>
      <c r="FO85" s="166">
        <v>0</v>
      </c>
      <c r="FP85" s="166">
        <v>712.15555555555557</v>
      </c>
      <c r="FQ85" s="166">
        <v>187.84444444444443</v>
      </c>
      <c r="FR85" s="166">
        <v>0</v>
      </c>
      <c r="FS85" s="166">
        <v>1036.1944444444443</v>
      </c>
      <c r="FT85" s="166">
        <v>900</v>
      </c>
      <c r="FU85" s="166">
        <v>1036.1944444444443</v>
      </c>
      <c r="FV85" s="166">
        <v>179.99444444444444</v>
      </c>
      <c r="FW85" s="166">
        <v>14.03888888888889</v>
      </c>
      <c r="FX85" s="166">
        <v>194.03333333333333</v>
      </c>
      <c r="FY85" s="166">
        <v>1050.2333333333331</v>
      </c>
      <c r="FZ85" s="165">
        <v>8</v>
      </c>
      <c r="GA85" s="165">
        <v>125</v>
      </c>
      <c r="GB85" s="165">
        <v>133</v>
      </c>
      <c r="GC85" s="165">
        <v>137</v>
      </c>
      <c r="GD85" s="165">
        <v>131</v>
      </c>
      <c r="GE85" s="165">
        <v>130</v>
      </c>
      <c r="GF85" s="165">
        <v>124</v>
      </c>
      <c r="GG85" s="165">
        <v>127</v>
      </c>
      <c r="GH85" s="165">
        <v>115</v>
      </c>
      <c r="GI85" s="165">
        <v>100</v>
      </c>
      <c r="GJ85" s="165">
        <v>94</v>
      </c>
      <c r="GK85" s="165">
        <v>0</v>
      </c>
      <c r="GL85" s="165">
        <v>0</v>
      </c>
      <c r="GM85" s="165">
        <v>0</v>
      </c>
      <c r="GN85" s="165">
        <v>0</v>
      </c>
      <c r="GO85" s="165">
        <v>764</v>
      </c>
      <c r="GP85" s="165">
        <v>194</v>
      </c>
      <c r="GQ85" s="165">
        <v>0</v>
      </c>
      <c r="GR85" s="165">
        <v>1091</v>
      </c>
      <c r="GS85" s="165">
        <v>958</v>
      </c>
      <c r="GT85" s="165">
        <v>1091</v>
      </c>
      <c r="GU85" s="165">
        <v>0</v>
      </c>
      <c r="GV85" s="165">
        <v>598</v>
      </c>
      <c r="GW85" s="165">
        <v>181</v>
      </c>
      <c r="GX85" s="165">
        <v>17</v>
      </c>
      <c r="GY85" s="165">
        <v>198</v>
      </c>
      <c r="GZ85" s="165">
        <v>1108</v>
      </c>
      <c r="HA85" s="165">
        <v>253</v>
      </c>
      <c r="HB85" s="166">
        <v>58</v>
      </c>
      <c r="HC85" s="166">
        <v>54</v>
      </c>
      <c r="HD85" s="166">
        <v>41.550000000000004</v>
      </c>
      <c r="HE85" s="166">
        <v>11.45</v>
      </c>
      <c r="HF85" s="166"/>
      <c r="HG85" s="166">
        <v>59</v>
      </c>
      <c r="HH85" s="166">
        <v>0</v>
      </c>
      <c r="HI85" s="166">
        <v>204</v>
      </c>
      <c r="HJ85" s="166">
        <v>204</v>
      </c>
      <c r="HK85" s="166">
        <v>187</v>
      </c>
      <c r="HL85" s="166">
        <v>17</v>
      </c>
      <c r="HM85" s="166">
        <v>10</v>
      </c>
      <c r="HN85" s="166">
        <v>147</v>
      </c>
      <c r="HO85" s="166">
        <v>944</v>
      </c>
      <c r="HP85" s="166">
        <v>738</v>
      </c>
      <c r="HQ85" s="166">
        <v>206</v>
      </c>
      <c r="HR85" s="166">
        <v>0</v>
      </c>
      <c r="HS85" s="166">
        <v>1091</v>
      </c>
      <c r="HT85" s="166">
        <f>FY26_FE_Data_April15[[#This Row],[Oct 1, 2026 (CDC) - K]]+FY26_FE_Data_April15[[#This Row],[Oct 1, 2026 (CDC) - Grades 1-6]]+FY26_FE_Data_April15[[#This Row],[Oct 1, 2026 (CDC) - Grades 7-8]]</f>
        <v>1091</v>
      </c>
      <c r="HU85" s="166">
        <v>0</v>
      </c>
      <c r="HW85" s="170"/>
      <c r="HY85" s="170"/>
    </row>
    <row r="86" spans="1:233" ht="26">
      <c r="A86" s="158" t="s">
        <v>470</v>
      </c>
      <c r="B86" s="159" t="s">
        <v>471</v>
      </c>
      <c r="C86" s="160" t="s">
        <v>472</v>
      </c>
      <c r="D86" s="160" t="s">
        <v>139</v>
      </c>
      <c r="E86" s="159" t="s">
        <v>784</v>
      </c>
      <c r="F86" s="159" t="s">
        <v>784</v>
      </c>
      <c r="G86" s="159"/>
      <c r="H86" s="161">
        <v>818.38333333333333</v>
      </c>
      <c r="I86" s="161">
        <v>405.88333333333333</v>
      </c>
      <c r="J86" s="161">
        <v>1224.2666666666667</v>
      </c>
      <c r="K86" s="162">
        <v>79</v>
      </c>
      <c r="L86" s="162">
        <v>660</v>
      </c>
      <c r="M86" s="162">
        <v>288</v>
      </c>
      <c r="N86" s="162">
        <v>535</v>
      </c>
      <c r="O86" s="162">
        <v>1562</v>
      </c>
      <c r="P86" s="162">
        <v>1483</v>
      </c>
      <c r="Q86" s="162">
        <v>1027</v>
      </c>
      <c r="R86" s="162">
        <v>351</v>
      </c>
      <c r="S86" s="160">
        <v>60.355555555555554</v>
      </c>
      <c r="T86" s="160">
        <v>58.677777777777777</v>
      </c>
      <c r="U86" s="160">
        <v>71.916666666666671</v>
      </c>
      <c r="V86" s="160">
        <v>80.8</v>
      </c>
      <c r="W86" s="160">
        <v>86.15</v>
      </c>
      <c r="X86" s="160">
        <v>84.933333333333337</v>
      </c>
      <c r="Y86" s="160">
        <v>82.672222222222217</v>
      </c>
      <c r="Z86" s="160">
        <v>104.88333333333334</v>
      </c>
      <c r="AA86" s="160">
        <v>107.12222222222222</v>
      </c>
      <c r="AB86" s="160">
        <v>112.69444444444444</v>
      </c>
      <c r="AC86" s="160">
        <v>112.65555555555555</v>
      </c>
      <c r="AD86" s="160">
        <v>109.92777777777778</v>
      </c>
      <c r="AE86" s="160">
        <v>95.455555555555549</v>
      </c>
      <c r="AF86" s="160">
        <v>465.15000000000003</v>
      </c>
      <c r="AG86" s="160">
        <v>212.00555555555556</v>
      </c>
      <c r="AH86" s="160">
        <v>430.73333333333335</v>
      </c>
      <c r="AI86" s="160">
        <v>737.51111111111106</v>
      </c>
      <c r="AJ86" s="160">
        <v>1107.8888888888891</v>
      </c>
      <c r="AK86" s="160">
        <v>1168.2444444444443</v>
      </c>
      <c r="AL86" s="161">
        <v>896.13333333333333</v>
      </c>
      <c r="AM86" s="161">
        <v>373.53888888888889</v>
      </c>
      <c r="AN86" s="161">
        <v>1269.6722222222222</v>
      </c>
      <c r="AO86" s="161">
        <v>1541.7833333333333</v>
      </c>
      <c r="AP86" s="162">
        <v>74</v>
      </c>
      <c r="AQ86" s="168">
        <v>90</v>
      </c>
      <c r="AR86" s="160">
        <v>103</v>
      </c>
      <c r="AS86" s="160">
        <v>122</v>
      </c>
      <c r="AT86" s="160">
        <v>115</v>
      </c>
      <c r="AU86" s="160">
        <v>118</v>
      </c>
      <c r="AV86" s="160">
        <v>118</v>
      </c>
      <c r="AW86" s="160">
        <v>129</v>
      </c>
      <c r="AX86" s="160">
        <v>145</v>
      </c>
      <c r="AY86" s="160">
        <v>148</v>
      </c>
      <c r="AZ86" s="160">
        <v>146</v>
      </c>
      <c r="BA86" s="160">
        <v>136</v>
      </c>
      <c r="BB86" s="160">
        <v>131</v>
      </c>
      <c r="BC86" s="160">
        <v>666</v>
      </c>
      <c r="BD86" s="160">
        <v>274</v>
      </c>
      <c r="BE86" s="160">
        <v>561</v>
      </c>
      <c r="BF86" s="160">
        <v>1014</v>
      </c>
      <c r="BG86" s="160">
        <v>1501</v>
      </c>
      <c r="BH86" s="160">
        <v>1575</v>
      </c>
      <c r="BI86" s="160">
        <v>74</v>
      </c>
      <c r="BJ86" s="160">
        <v>0</v>
      </c>
      <c r="BK86" s="160">
        <v>0</v>
      </c>
      <c r="BL86" s="160">
        <v>362</v>
      </c>
      <c r="BM86" s="160">
        <v>859</v>
      </c>
      <c r="BN86" s="162">
        <v>358</v>
      </c>
      <c r="BO86" s="162">
        <v>1217</v>
      </c>
      <c r="BP86" s="162">
        <v>26</v>
      </c>
      <c r="BQ86" s="163">
        <v>6.387132300696291E-2</v>
      </c>
      <c r="BR86" s="164">
        <v>189.98300000000003</v>
      </c>
      <c r="BS86" s="164">
        <v>180.98300000000003</v>
      </c>
      <c r="BT86" s="164">
        <v>154.92200000000003</v>
      </c>
      <c r="BU86" s="164">
        <v>194.01000000000002</v>
      </c>
      <c r="BV86" s="165">
        <v>0</v>
      </c>
      <c r="BW86" s="165">
        <v>0</v>
      </c>
      <c r="BX86" s="166">
        <v>0</v>
      </c>
      <c r="BY86" s="166">
        <v>0.405555</v>
      </c>
      <c r="BZ86" s="166">
        <v>44.533332999999999</v>
      </c>
      <c r="CA86" s="166">
        <v>44.93888888888889</v>
      </c>
      <c r="CB86" s="166">
        <v>64.011111111111106</v>
      </c>
      <c r="CC86" s="166">
        <v>69.827777777777783</v>
      </c>
      <c r="CD86" s="166">
        <v>77.672222222222217</v>
      </c>
      <c r="CE86" s="166">
        <v>86.211111111111109</v>
      </c>
      <c r="CF86" s="166">
        <v>91.038888888888891</v>
      </c>
      <c r="CG86" s="166">
        <v>81.816666666666663</v>
      </c>
      <c r="CH86" s="166">
        <v>106.87777777777778</v>
      </c>
      <c r="CI86" s="166">
        <v>111.42777777777778</v>
      </c>
      <c r="CJ86" s="166">
        <v>118.96666666666667</v>
      </c>
      <c r="CK86" s="166">
        <v>120.22777777777777</v>
      </c>
      <c r="CL86" s="166">
        <v>110.77222222222223</v>
      </c>
      <c r="CM86" s="166">
        <v>102.96111111111111</v>
      </c>
      <c r="CN86" s="166">
        <v>470.57777777777778</v>
      </c>
      <c r="CO86" s="166">
        <v>218.30555555555554</v>
      </c>
      <c r="CP86" s="166">
        <v>452.92777777777781</v>
      </c>
      <c r="CQ86" s="166">
        <v>733.82222222222219</v>
      </c>
      <c r="CR86" s="166">
        <v>1141.8111111111111</v>
      </c>
      <c r="CS86" s="166">
        <v>1186.75</v>
      </c>
      <c r="CT86" s="166">
        <v>935.26666666666699</v>
      </c>
      <c r="CU86" s="166">
        <v>356.98333333333301</v>
      </c>
      <c r="CV86" s="166">
        <v>1292.25</v>
      </c>
      <c r="CW86" s="166">
        <v>1543.7333333333331</v>
      </c>
      <c r="CX86" s="166">
        <v>0</v>
      </c>
      <c r="CY86" s="166">
        <v>68</v>
      </c>
      <c r="CZ86" s="165">
        <v>1</v>
      </c>
      <c r="DA86" s="165">
        <v>69</v>
      </c>
      <c r="DB86" s="165">
        <v>95</v>
      </c>
      <c r="DC86" s="165">
        <v>98</v>
      </c>
      <c r="DD86" s="165">
        <v>106</v>
      </c>
      <c r="DE86" s="165">
        <v>117</v>
      </c>
      <c r="DF86" s="165">
        <v>120</v>
      </c>
      <c r="DG86" s="165">
        <v>114</v>
      </c>
      <c r="DH86" s="165">
        <v>131</v>
      </c>
      <c r="DI86" s="165">
        <v>134</v>
      </c>
      <c r="DJ86" s="165">
        <v>151</v>
      </c>
      <c r="DK86" s="165">
        <v>151</v>
      </c>
      <c r="DL86" s="165">
        <v>136</v>
      </c>
      <c r="DM86" s="165">
        <v>139</v>
      </c>
      <c r="DN86" s="165">
        <v>650</v>
      </c>
      <c r="DO86" s="165">
        <v>265</v>
      </c>
      <c r="DP86" s="165">
        <v>577</v>
      </c>
      <c r="DQ86" s="165">
        <v>984</v>
      </c>
      <c r="DR86" s="165">
        <v>1492</v>
      </c>
      <c r="DS86" s="165">
        <v>1561</v>
      </c>
      <c r="DT86" s="165">
        <v>0</v>
      </c>
      <c r="DU86" s="165">
        <v>432</v>
      </c>
      <c r="DV86" s="165">
        <v>823</v>
      </c>
      <c r="DW86" s="165">
        <v>378</v>
      </c>
      <c r="DX86" s="165">
        <v>1201</v>
      </c>
      <c r="DY86" s="165">
        <v>1939</v>
      </c>
      <c r="DZ86" s="165">
        <v>28</v>
      </c>
      <c r="EA86" s="166">
        <v>202.56099999999998</v>
      </c>
      <c r="EB86" s="166">
        <v>192.42099999999999</v>
      </c>
      <c r="EC86" s="166">
        <v>61.777999999999999</v>
      </c>
      <c r="ED86" s="166">
        <v>79.517999999999986</v>
      </c>
      <c r="EE86" s="166">
        <v>0</v>
      </c>
      <c r="EF86" s="166">
        <v>205.56099999999995</v>
      </c>
      <c r="EG86" s="167">
        <v>6.1709963922513433E-2</v>
      </c>
      <c r="EH86" s="165"/>
      <c r="EI86" s="165">
        <v>81</v>
      </c>
      <c r="EJ86" s="165">
        <v>1466</v>
      </c>
      <c r="EK86" s="165">
        <v>630</v>
      </c>
      <c r="EL86" s="165">
        <v>256</v>
      </c>
      <c r="EM86" s="165">
        <v>580</v>
      </c>
      <c r="EN86" s="165">
        <v>1547</v>
      </c>
      <c r="EO86" s="165">
        <v>0</v>
      </c>
      <c r="EP86" s="165">
        <v>1309</v>
      </c>
      <c r="EQ86" s="165">
        <v>1309</v>
      </c>
      <c r="ER86" s="165">
        <v>920</v>
      </c>
      <c r="ES86" s="165">
        <v>389</v>
      </c>
      <c r="ET86" s="165">
        <v>361</v>
      </c>
      <c r="EU86" s="166">
        <v>196.578</v>
      </c>
      <c r="EV86" s="166">
        <v>4</v>
      </c>
      <c r="EW86" s="166">
        <v>15</v>
      </c>
      <c r="EX86" s="166">
        <v>61.953000000000003</v>
      </c>
      <c r="EY86" s="166">
        <v>13.955</v>
      </c>
      <c r="EZ86" s="166">
        <v>291.48599999999999</v>
      </c>
      <c r="FA86" s="166">
        <v>0</v>
      </c>
      <c r="FB86" s="166">
        <v>45.116666666666667</v>
      </c>
      <c r="FC86" s="166">
        <v>45.116666666666667</v>
      </c>
      <c r="FD86" s="166">
        <v>59.244444444444447</v>
      </c>
      <c r="FE86" s="166">
        <v>67.488888888888894</v>
      </c>
      <c r="FF86" s="166">
        <v>69.011111111111106</v>
      </c>
      <c r="FG86" s="166">
        <v>77.777777777777771</v>
      </c>
      <c r="FH86" s="166">
        <v>92.594444444444449</v>
      </c>
      <c r="FI86" s="166">
        <v>87.87222222222222</v>
      </c>
      <c r="FJ86" s="166">
        <v>100.45555555555555</v>
      </c>
      <c r="FK86" s="166">
        <v>110.80555555555556</v>
      </c>
      <c r="FL86" s="166">
        <v>112.26111111111111</v>
      </c>
      <c r="FM86" s="166">
        <v>114.56111111111112</v>
      </c>
      <c r="FN86" s="166">
        <v>115.31111111111112</v>
      </c>
      <c r="FO86" s="166">
        <v>98.822222222222223</v>
      </c>
      <c r="FP86" s="166">
        <v>453.98888888888888</v>
      </c>
      <c r="FQ86" s="166">
        <v>211.26111111111112</v>
      </c>
      <c r="FR86" s="166">
        <v>440.95555555555552</v>
      </c>
      <c r="FS86" s="166">
        <v>710.36666666666667</v>
      </c>
      <c r="FT86" s="166">
        <v>1106.2055555555555</v>
      </c>
      <c r="FU86" s="166">
        <v>1151.3222222222223</v>
      </c>
      <c r="FV86" s="166">
        <v>909.63333333333333</v>
      </c>
      <c r="FW86" s="166">
        <v>381.05</v>
      </c>
      <c r="FX86" s="166">
        <v>1290.6833333333334</v>
      </c>
      <c r="FY86" s="166">
        <v>1532.3722222222223</v>
      </c>
      <c r="FZ86" s="165">
        <v>0</v>
      </c>
      <c r="GA86" s="165">
        <v>81</v>
      </c>
      <c r="GB86" s="165">
        <v>81</v>
      </c>
      <c r="GC86" s="165">
        <v>87</v>
      </c>
      <c r="GD86" s="165">
        <v>112</v>
      </c>
      <c r="GE86" s="165">
        <v>96</v>
      </c>
      <c r="GF86" s="165">
        <v>103</v>
      </c>
      <c r="GG86" s="165">
        <v>118</v>
      </c>
      <c r="GH86" s="165">
        <v>119</v>
      </c>
      <c r="GI86" s="165">
        <v>128</v>
      </c>
      <c r="GJ86" s="165">
        <v>133</v>
      </c>
      <c r="GK86" s="165">
        <v>162</v>
      </c>
      <c r="GL86" s="165">
        <v>150</v>
      </c>
      <c r="GM86" s="165">
        <v>142</v>
      </c>
      <c r="GN86" s="165">
        <v>141</v>
      </c>
      <c r="GO86" s="165">
        <v>635</v>
      </c>
      <c r="GP86" s="165">
        <v>261</v>
      </c>
      <c r="GQ86" s="165">
        <v>595</v>
      </c>
      <c r="GR86" s="165">
        <v>977</v>
      </c>
      <c r="GS86" s="165">
        <v>1491</v>
      </c>
      <c r="GT86" s="165">
        <v>1572</v>
      </c>
      <c r="GU86" s="165">
        <v>0</v>
      </c>
      <c r="GV86" s="165">
        <v>434</v>
      </c>
      <c r="GW86" s="165">
        <v>892</v>
      </c>
      <c r="GX86" s="165">
        <v>377</v>
      </c>
      <c r="GY86" s="165">
        <v>1269</v>
      </c>
      <c r="GZ86" s="165">
        <v>1949</v>
      </c>
      <c r="HA86" s="165">
        <v>44</v>
      </c>
      <c r="HB86" s="166">
        <v>208.61899999999994</v>
      </c>
      <c r="HC86" s="166">
        <v>198.61899999999994</v>
      </c>
      <c r="HD86" s="166">
        <v>65.768000000000001</v>
      </c>
      <c r="HE86" s="166">
        <v>80.359999999999985</v>
      </c>
      <c r="HF86" s="166"/>
      <c r="HG86" s="166">
        <v>212.33600000000001</v>
      </c>
      <c r="HH86" s="166">
        <v>0</v>
      </c>
      <c r="HI86" s="166">
        <v>1274</v>
      </c>
      <c r="HJ86" s="166">
        <v>1274</v>
      </c>
      <c r="HK86" s="166">
        <v>892</v>
      </c>
      <c r="HL86" s="166">
        <v>382</v>
      </c>
      <c r="HM86" s="166">
        <v>408</v>
      </c>
      <c r="HN86" s="166">
        <v>81</v>
      </c>
      <c r="HO86" s="166">
        <v>1496</v>
      </c>
      <c r="HP86" s="166">
        <v>636</v>
      </c>
      <c r="HQ86" s="166">
        <v>264</v>
      </c>
      <c r="HR86" s="166">
        <v>596</v>
      </c>
      <c r="HS86" s="166">
        <v>1577</v>
      </c>
      <c r="HT86" s="166">
        <f>FY26_FE_Data_April15[[#This Row],[Oct 1, 2026 (CDC) - K]]+FY26_FE_Data_April15[[#This Row],[Oct 1, 2026 (CDC) - Grades 1-6]]+FY26_FE_Data_April15[[#This Row],[Oct 1, 2026 (CDC) - Grades 7-8]]</f>
        <v>981</v>
      </c>
      <c r="HU86" s="166">
        <v>0</v>
      </c>
      <c r="HW86" s="170"/>
      <c r="HY86" s="170"/>
    </row>
    <row r="87" spans="1:233" ht="26">
      <c r="A87" s="158" t="s">
        <v>473</v>
      </c>
      <c r="B87" s="159" t="s">
        <v>474</v>
      </c>
      <c r="C87" s="160" t="s">
        <v>475</v>
      </c>
      <c r="D87" s="160" t="s">
        <v>139</v>
      </c>
      <c r="E87" s="159" t="s">
        <v>784</v>
      </c>
      <c r="F87" s="159" t="s">
        <v>784</v>
      </c>
      <c r="G87" s="159"/>
      <c r="H87" s="161">
        <v>41.116666666666667</v>
      </c>
      <c r="I87" s="161">
        <v>4.822222222222222</v>
      </c>
      <c r="J87" s="161">
        <v>45.93888888888889</v>
      </c>
      <c r="K87" s="162">
        <v>59</v>
      </c>
      <c r="L87" s="162">
        <v>232</v>
      </c>
      <c r="M87" s="162">
        <v>0</v>
      </c>
      <c r="N87" s="162">
        <v>0</v>
      </c>
      <c r="O87" s="162">
        <v>291</v>
      </c>
      <c r="P87" s="162">
        <v>232</v>
      </c>
      <c r="Q87" s="162">
        <v>291</v>
      </c>
      <c r="R87" s="162">
        <v>5</v>
      </c>
      <c r="S87" s="160">
        <v>61.355555555555554</v>
      </c>
      <c r="T87" s="160">
        <v>45.555555555555557</v>
      </c>
      <c r="U87" s="160">
        <v>45.37777777777778</v>
      </c>
      <c r="V87" s="160">
        <v>45.172222222222224</v>
      </c>
      <c r="W87" s="160">
        <v>36.644444444444446</v>
      </c>
      <c r="X87" s="160">
        <v>29.394444444444446</v>
      </c>
      <c r="Y87" s="160">
        <v>21.983333333333334</v>
      </c>
      <c r="Z87" s="160">
        <v>0</v>
      </c>
      <c r="AA87" s="160">
        <v>0</v>
      </c>
      <c r="AB87" s="160">
        <v>0</v>
      </c>
      <c r="AC87" s="160">
        <v>0</v>
      </c>
      <c r="AD87" s="160">
        <v>0</v>
      </c>
      <c r="AE87" s="160">
        <v>0</v>
      </c>
      <c r="AF87" s="160">
        <v>224.12777777777779</v>
      </c>
      <c r="AG87" s="160">
        <v>0</v>
      </c>
      <c r="AH87" s="160">
        <v>0</v>
      </c>
      <c r="AI87" s="160">
        <v>285.48333333333335</v>
      </c>
      <c r="AJ87" s="160">
        <v>224.12777777777779</v>
      </c>
      <c r="AK87" s="160">
        <v>285.48333333333335</v>
      </c>
      <c r="AL87" s="161">
        <v>40.9</v>
      </c>
      <c r="AM87" s="161">
        <v>5.4888888888888889</v>
      </c>
      <c r="AN87" s="161">
        <v>46.388888888888886</v>
      </c>
      <c r="AO87" s="161">
        <v>290.97222222222223</v>
      </c>
      <c r="AP87" s="162">
        <v>41</v>
      </c>
      <c r="AQ87" s="168">
        <v>45</v>
      </c>
      <c r="AR87" s="160">
        <v>38</v>
      </c>
      <c r="AS87" s="160">
        <v>38</v>
      </c>
      <c r="AT87" s="160">
        <v>32</v>
      </c>
      <c r="AU87" s="160">
        <v>29</v>
      </c>
      <c r="AV87" s="160">
        <v>22</v>
      </c>
      <c r="AW87" s="160">
        <v>0</v>
      </c>
      <c r="AX87" s="160">
        <v>0</v>
      </c>
      <c r="AY87" s="160">
        <v>0</v>
      </c>
      <c r="AZ87" s="160">
        <v>0</v>
      </c>
      <c r="BA87" s="160">
        <v>0</v>
      </c>
      <c r="BB87" s="160">
        <v>0</v>
      </c>
      <c r="BC87" s="160">
        <v>204</v>
      </c>
      <c r="BD87" s="160">
        <v>0</v>
      </c>
      <c r="BE87" s="160">
        <v>0</v>
      </c>
      <c r="BF87" s="160">
        <v>245</v>
      </c>
      <c r="BG87" s="160">
        <v>204</v>
      </c>
      <c r="BH87" s="160">
        <v>245</v>
      </c>
      <c r="BI87" s="160">
        <v>41</v>
      </c>
      <c r="BJ87" s="160">
        <v>0</v>
      </c>
      <c r="BK87" s="160">
        <v>0</v>
      </c>
      <c r="BL87" s="160">
        <v>146</v>
      </c>
      <c r="BM87" s="160">
        <v>28</v>
      </c>
      <c r="BN87" s="162">
        <v>6</v>
      </c>
      <c r="BO87" s="162">
        <v>34</v>
      </c>
      <c r="BP87" s="162">
        <v>80</v>
      </c>
      <c r="BQ87" s="163">
        <v>6.9117647058823506E-2</v>
      </c>
      <c r="BR87" s="164">
        <v>10.5</v>
      </c>
      <c r="BS87" s="164">
        <v>10.5</v>
      </c>
      <c r="BT87" s="164">
        <v>10.5</v>
      </c>
      <c r="BU87" s="164">
        <v>10.5</v>
      </c>
      <c r="BV87" s="165">
        <v>0</v>
      </c>
      <c r="BW87" s="165">
        <v>0</v>
      </c>
      <c r="BX87" s="166">
        <v>0</v>
      </c>
      <c r="BY87" s="166">
        <v>1.9388879999999999</v>
      </c>
      <c r="BZ87" s="166">
        <v>37.200000000000003</v>
      </c>
      <c r="CA87" s="166">
        <v>39.138888888888886</v>
      </c>
      <c r="CB87" s="166">
        <v>40.911111111111111</v>
      </c>
      <c r="CC87" s="166">
        <v>38.155555555555559</v>
      </c>
      <c r="CD87" s="166">
        <v>31.333333333333332</v>
      </c>
      <c r="CE87" s="166">
        <v>30.233333333333334</v>
      </c>
      <c r="CF87" s="166">
        <v>29.56111111111111</v>
      </c>
      <c r="CG87" s="166">
        <v>20.611111111111111</v>
      </c>
      <c r="CH87" s="166">
        <v>0</v>
      </c>
      <c r="CI87" s="166">
        <v>0</v>
      </c>
      <c r="CJ87" s="166">
        <v>0</v>
      </c>
      <c r="CK87" s="166">
        <v>0</v>
      </c>
      <c r="CL87" s="166">
        <v>0</v>
      </c>
      <c r="CM87" s="166">
        <v>0</v>
      </c>
      <c r="CN87" s="166">
        <v>190.80555555555554</v>
      </c>
      <c r="CO87" s="166">
        <v>0</v>
      </c>
      <c r="CP87" s="166">
        <v>0</v>
      </c>
      <c r="CQ87" s="166">
        <v>229.94444444444446</v>
      </c>
      <c r="CR87" s="166">
        <v>190.80555555555554</v>
      </c>
      <c r="CS87" s="166">
        <v>229.94444444444446</v>
      </c>
      <c r="CT87" s="166">
        <v>25.961111111111101</v>
      </c>
      <c r="CU87" s="166">
        <v>5.7611111111111102</v>
      </c>
      <c r="CV87" s="166">
        <v>31.722222222222211</v>
      </c>
      <c r="CW87" s="166">
        <v>235.70555555555558</v>
      </c>
      <c r="CX87" s="166">
        <v>0</v>
      </c>
      <c r="CY87" s="166">
        <v>39</v>
      </c>
      <c r="CZ87" s="165">
        <v>0</v>
      </c>
      <c r="DA87" s="165">
        <v>39</v>
      </c>
      <c r="DB87" s="165">
        <v>32</v>
      </c>
      <c r="DC87" s="165">
        <v>32</v>
      </c>
      <c r="DD87" s="165">
        <v>42</v>
      </c>
      <c r="DE87" s="165">
        <v>28</v>
      </c>
      <c r="DF87" s="165">
        <v>27</v>
      </c>
      <c r="DG87" s="165">
        <v>24</v>
      </c>
      <c r="DH87" s="165">
        <v>0</v>
      </c>
      <c r="DI87" s="165">
        <v>0</v>
      </c>
      <c r="DJ87" s="165">
        <v>0</v>
      </c>
      <c r="DK87" s="165">
        <v>0</v>
      </c>
      <c r="DL87" s="165">
        <v>0</v>
      </c>
      <c r="DM87" s="165">
        <v>0</v>
      </c>
      <c r="DN87" s="165">
        <v>185</v>
      </c>
      <c r="DO87" s="165">
        <v>0</v>
      </c>
      <c r="DP87" s="165">
        <v>0</v>
      </c>
      <c r="DQ87" s="165">
        <v>224</v>
      </c>
      <c r="DR87" s="165">
        <v>185</v>
      </c>
      <c r="DS87" s="165">
        <v>224</v>
      </c>
      <c r="DT87" s="165">
        <v>0</v>
      </c>
      <c r="DU87" s="165">
        <v>122</v>
      </c>
      <c r="DV87" s="165">
        <v>12</v>
      </c>
      <c r="DW87" s="165">
        <v>5</v>
      </c>
      <c r="DX87" s="165">
        <v>17</v>
      </c>
      <c r="DY87" s="165">
        <v>229</v>
      </c>
      <c r="DZ87" s="165">
        <v>80</v>
      </c>
      <c r="EA87" s="166">
        <v>11.5</v>
      </c>
      <c r="EB87" s="166">
        <v>11.5</v>
      </c>
      <c r="EC87" s="166">
        <v>11.5</v>
      </c>
      <c r="ED87" s="166">
        <v>0</v>
      </c>
      <c r="EE87" s="166">
        <v>0</v>
      </c>
      <c r="EF87" s="166">
        <v>13.49</v>
      </c>
      <c r="EG87" s="167">
        <v>7.2727272727272696E-2</v>
      </c>
      <c r="EH87" s="165"/>
      <c r="EI87" s="165">
        <v>38</v>
      </c>
      <c r="EJ87" s="165">
        <v>187</v>
      </c>
      <c r="EK87" s="165">
        <v>187</v>
      </c>
      <c r="EL87" s="165">
        <v>0</v>
      </c>
      <c r="EM87" s="165">
        <v>0</v>
      </c>
      <c r="EN87" s="165">
        <v>225</v>
      </c>
      <c r="EO87" s="165">
        <v>0</v>
      </c>
      <c r="EP87" s="165">
        <v>31</v>
      </c>
      <c r="EQ87" s="165">
        <v>31</v>
      </c>
      <c r="ER87" s="165">
        <v>27</v>
      </c>
      <c r="ES87" s="165">
        <v>4</v>
      </c>
      <c r="ET87" s="165">
        <v>6</v>
      </c>
      <c r="EU87" s="166">
        <v>11.75</v>
      </c>
      <c r="EV87" s="166">
        <v>0</v>
      </c>
      <c r="EW87" s="166">
        <v>2</v>
      </c>
      <c r="EX87" s="166">
        <v>0</v>
      </c>
      <c r="EY87" s="166">
        <v>12.13</v>
      </c>
      <c r="EZ87" s="166">
        <v>25.880000000000003</v>
      </c>
      <c r="FA87" s="166">
        <v>0</v>
      </c>
      <c r="FB87" s="166">
        <v>36.405555555555559</v>
      </c>
      <c r="FC87" s="166">
        <v>36.405555555555559</v>
      </c>
      <c r="FD87" s="166">
        <v>31.294444444444444</v>
      </c>
      <c r="FE87" s="166">
        <v>31.916666666666668</v>
      </c>
      <c r="FF87" s="166">
        <v>42.516666666666666</v>
      </c>
      <c r="FG87" s="166">
        <v>25.161111111111111</v>
      </c>
      <c r="FH87" s="166">
        <v>26.355555555555554</v>
      </c>
      <c r="FI87" s="166">
        <v>24.733333333333334</v>
      </c>
      <c r="FJ87" s="166">
        <v>0</v>
      </c>
      <c r="FK87" s="166">
        <v>0</v>
      </c>
      <c r="FL87" s="166">
        <v>0</v>
      </c>
      <c r="FM87" s="166">
        <v>0</v>
      </c>
      <c r="FN87" s="166">
        <v>0</v>
      </c>
      <c r="FO87" s="166">
        <v>0</v>
      </c>
      <c r="FP87" s="166">
        <v>181.97777777777776</v>
      </c>
      <c r="FQ87" s="166">
        <v>0</v>
      </c>
      <c r="FR87" s="166">
        <v>0</v>
      </c>
      <c r="FS87" s="166">
        <v>218.38333333333333</v>
      </c>
      <c r="FT87" s="166">
        <v>181.97777777777776</v>
      </c>
      <c r="FU87" s="166">
        <v>218.38333333333333</v>
      </c>
      <c r="FV87" s="166">
        <v>25.905555555555555</v>
      </c>
      <c r="FW87" s="166">
        <v>4.6444444444444448</v>
      </c>
      <c r="FX87" s="166">
        <v>30.55</v>
      </c>
      <c r="FY87" s="166">
        <v>223.02777777777777</v>
      </c>
      <c r="FZ87" s="165">
        <v>3</v>
      </c>
      <c r="GA87" s="165">
        <v>31</v>
      </c>
      <c r="GB87" s="165">
        <v>34</v>
      </c>
      <c r="GC87" s="165">
        <v>27</v>
      </c>
      <c r="GD87" s="165">
        <v>32</v>
      </c>
      <c r="GE87" s="165">
        <v>32</v>
      </c>
      <c r="GF87" s="165">
        <v>44</v>
      </c>
      <c r="GG87" s="165">
        <v>26</v>
      </c>
      <c r="GH87" s="165">
        <v>26</v>
      </c>
      <c r="GI87" s="165">
        <v>0</v>
      </c>
      <c r="GJ87" s="165">
        <v>0</v>
      </c>
      <c r="GK87" s="165">
        <v>0</v>
      </c>
      <c r="GL87" s="165">
        <v>0</v>
      </c>
      <c r="GM87" s="165">
        <v>0</v>
      </c>
      <c r="GN87" s="165">
        <v>0</v>
      </c>
      <c r="GO87" s="165">
        <v>187</v>
      </c>
      <c r="GP87" s="165">
        <v>0</v>
      </c>
      <c r="GQ87" s="165">
        <v>0</v>
      </c>
      <c r="GR87" s="165">
        <v>221</v>
      </c>
      <c r="GS87" s="165">
        <v>187</v>
      </c>
      <c r="GT87" s="165">
        <v>221</v>
      </c>
      <c r="GU87" s="165">
        <v>0</v>
      </c>
      <c r="GV87" s="165">
        <v>136</v>
      </c>
      <c r="GW87" s="165">
        <v>32</v>
      </c>
      <c r="GX87" s="165">
        <v>5</v>
      </c>
      <c r="GY87" s="165">
        <v>37</v>
      </c>
      <c r="GZ87" s="165">
        <v>226</v>
      </c>
      <c r="HA87" s="165">
        <v>70</v>
      </c>
      <c r="HB87" s="166">
        <v>12.5</v>
      </c>
      <c r="HC87" s="166">
        <v>12.5</v>
      </c>
      <c r="HD87" s="166">
        <v>12.5</v>
      </c>
      <c r="HE87" s="166">
        <v>0</v>
      </c>
      <c r="HF87" s="166"/>
      <c r="HG87" s="166">
        <v>13.99</v>
      </c>
      <c r="HH87" s="166">
        <v>0</v>
      </c>
      <c r="HI87" s="166">
        <v>37</v>
      </c>
      <c r="HJ87" s="166">
        <v>37</v>
      </c>
      <c r="HK87" s="166">
        <v>33</v>
      </c>
      <c r="HL87" s="166">
        <v>4</v>
      </c>
      <c r="HM87" s="166">
        <v>7</v>
      </c>
      <c r="HN87" s="166">
        <v>39</v>
      </c>
      <c r="HO87" s="166">
        <v>185</v>
      </c>
      <c r="HP87" s="166">
        <v>185</v>
      </c>
      <c r="HQ87" s="166">
        <v>0</v>
      </c>
      <c r="HR87" s="166">
        <v>0</v>
      </c>
      <c r="HS87" s="166">
        <v>224</v>
      </c>
      <c r="HT87" s="166">
        <f>FY26_FE_Data_April15[[#This Row],[Oct 1, 2026 (CDC) - K]]+FY26_FE_Data_April15[[#This Row],[Oct 1, 2026 (CDC) - Grades 1-6]]+FY26_FE_Data_April15[[#This Row],[Oct 1, 2026 (CDC) - Grades 7-8]]</f>
        <v>224</v>
      </c>
      <c r="HU87" s="166">
        <v>0</v>
      </c>
      <c r="HW87" s="170"/>
      <c r="HY87" s="170"/>
    </row>
    <row r="88" spans="1:233" ht="26">
      <c r="A88" s="158" t="s">
        <v>476</v>
      </c>
      <c r="B88" s="159" t="s">
        <v>477</v>
      </c>
      <c r="C88" s="160" t="s">
        <v>478</v>
      </c>
      <c r="D88" s="160" t="s">
        <v>139</v>
      </c>
      <c r="E88" s="159" t="s">
        <v>784</v>
      </c>
      <c r="F88" s="159" t="s">
        <v>784</v>
      </c>
      <c r="G88" s="159"/>
      <c r="H88" s="161">
        <v>143.07777777777778</v>
      </c>
      <c r="I88" s="161">
        <v>0</v>
      </c>
      <c r="J88" s="161">
        <v>143.07777777777778</v>
      </c>
      <c r="K88" s="162">
        <v>40</v>
      </c>
      <c r="L88" s="162">
        <v>279</v>
      </c>
      <c r="M88" s="162">
        <v>125</v>
      </c>
      <c r="N88" s="162">
        <v>334</v>
      </c>
      <c r="O88" s="162">
        <v>778</v>
      </c>
      <c r="P88" s="162">
        <v>738</v>
      </c>
      <c r="Q88" s="162">
        <v>444</v>
      </c>
      <c r="R88" s="162">
        <v>0</v>
      </c>
      <c r="S88" s="160">
        <v>38.494444444444447</v>
      </c>
      <c r="T88" s="160">
        <v>48.422222222222224</v>
      </c>
      <c r="U88" s="160">
        <v>47.305555555555557</v>
      </c>
      <c r="V88" s="160">
        <v>41.794444444444444</v>
      </c>
      <c r="W88" s="160">
        <v>46.211111111111109</v>
      </c>
      <c r="X88" s="160">
        <v>46.37777777777778</v>
      </c>
      <c r="Y88" s="160">
        <v>50.227777777777774</v>
      </c>
      <c r="Z88" s="160">
        <v>63.555555555555557</v>
      </c>
      <c r="AA88" s="160">
        <v>60.366666666666667</v>
      </c>
      <c r="AB88" s="160">
        <v>93.072222222222223</v>
      </c>
      <c r="AC88" s="160">
        <v>91.022222222222226</v>
      </c>
      <c r="AD88" s="160">
        <v>75.12777777777778</v>
      </c>
      <c r="AE88" s="160">
        <v>70</v>
      </c>
      <c r="AF88" s="160">
        <v>280.3388888888889</v>
      </c>
      <c r="AG88" s="160">
        <v>123.92222222222222</v>
      </c>
      <c r="AH88" s="160">
        <v>329.22222222222223</v>
      </c>
      <c r="AI88" s="160">
        <v>442.75555555555553</v>
      </c>
      <c r="AJ88" s="160">
        <v>733.48333333333335</v>
      </c>
      <c r="AK88" s="160">
        <v>771.97777777777776</v>
      </c>
      <c r="AL88" s="161">
        <v>162.17777777777778</v>
      </c>
      <c r="AM88" s="161">
        <v>0.4</v>
      </c>
      <c r="AN88" s="161">
        <v>162.57777777777778</v>
      </c>
      <c r="AO88" s="161">
        <v>772.37777777777774</v>
      </c>
      <c r="AP88" s="162">
        <v>38</v>
      </c>
      <c r="AQ88" s="168">
        <v>42</v>
      </c>
      <c r="AR88" s="160">
        <v>42</v>
      </c>
      <c r="AS88" s="160">
        <v>51</v>
      </c>
      <c r="AT88" s="160">
        <v>47</v>
      </c>
      <c r="AU88" s="160">
        <v>50</v>
      </c>
      <c r="AV88" s="160">
        <v>58</v>
      </c>
      <c r="AW88" s="160">
        <v>62</v>
      </c>
      <c r="AX88" s="160">
        <v>61</v>
      </c>
      <c r="AY88" s="160">
        <v>103</v>
      </c>
      <c r="AZ88" s="160">
        <v>99</v>
      </c>
      <c r="BA88" s="160">
        <v>86</v>
      </c>
      <c r="BB88" s="160">
        <v>65</v>
      </c>
      <c r="BC88" s="160">
        <v>290</v>
      </c>
      <c r="BD88" s="160">
        <v>123</v>
      </c>
      <c r="BE88" s="160">
        <v>353</v>
      </c>
      <c r="BF88" s="160">
        <v>451</v>
      </c>
      <c r="BG88" s="160">
        <v>766</v>
      </c>
      <c r="BH88" s="160">
        <v>804</v>
      </c>
      <c r="BI88" s="160">
        <v>0</v>
      </c>
      <c r="BJ88" s="160">
        <v>38</v>
      </c>
      <c r="BK88" s="160">
        <v>1</v>
      </c>
      <c r="BL88" s="160">
        <v>191</v>
      </c>
      <c r="BM88" s="160">
        <v>177</v>
      </c>
      <c r="BN88" s="162">
        <v>2</v>
      </c>
      <c r="BO88" s="162">
        <v>179</v>
      </c>
      <c r="BP88" s="162">
        <v>21</v>
      </c>
      <c r="BQ88" s="163">
        <v>7.5247767370943242E-2</v>
      </c>
      <c r="BR88" s="164">
        <v>46.250000000000007</v>
      </c>
      <c r="BS88" s="164">
        <v>42.250000000000007</v>
      </c>
      <c r="BT88" s="164">
        <v>41.95</v>
      </c>
      <c r="BU88" s="164">
        <v>48.949999999999996</v>
      </c>
      <c r="BV88" s="165">
        <v>0</v>
      </c>
      <c r="BW88" s="165">
        <v>0</v>
      </c>
      <c r="BX88" s="166">
        <v>0</v>
      </c>
      <c r="BY88" s="166">
        <v>37.127777000000002</v>
      </c>
      <c r="BZ88" s="166">
        <v>0</v>
      </c>
      <c r="CA88" s="166">
        <v>37.12777777777778</v>
      </c>
      <c r="CB88" s="166">
        <v>41.055555555555557</v>
      </c>
      <c r="CC88" s="166">
        <v>43.572222222222223</v>
      </c>
      <c r="CD88" s="166">
        <v>49.694444444444443</v>
      </c>
      <c r="CE88" s="166">
        <v>45.016666666666666</v>
      </c>
      <c r="CF88" s="166">
        <v>49.3</v>
      </c>
      <c r="CG88" s="166">
        <v>56.8</v>
      </c>
      <c r="CH88" s="166">
        <v>62.644444444444446</v>
      </c>
      <c r="CI88" s="166">
        <v>59.06111111111111</v>
      </c>
      <c r="CJ88" s="166">
        <v>100.78888888888889</v>
      </c>
      <c r="CK88" s="166">
        <v>95.777777777777771</v>
      </c>
      <c r="CL88" s="166">
        <v>82.538888888888891</v>
      </c>
      <c r="CM88" s="166">
        <v>63.31666666666667</v>
      </c>
      <c r="CN88" s="166">
        <v>285.43888888888893</v>
      </c>
      <c r="CO88" s="166">
        <v>121.70555555555555</v>
      </c>
      <c r="CP88" s="166">
        <v>342.42222222222222</v>
      </c>
      <c r="CQ88" s="166">
        <v>444.27222222222224</v>
      </c>
      <c r="CR88" s="166">
        <v>749.56666666666683</v>
      </c>
      <c r="CS88" s="166">
        <v>786.69444444444457</v>
      </c>
      <c r="CT88" s="166">
        <v>181.75</v>
      </c>
      <c r="CU88" s="166">
        <v>1.62777777777778</v>
      </c>
      <c r="CV88" s="166">
        <v>183.37777777777779</v>
      </c>
      <c r="CW88" s="166">
        <v>788.32222222222231</v>
      </c>
      <c r="CX88" s="166">
        <v>0</v>
      </c>
      <c r="CY88" s="166">
        <v>41</v>
      </c>
      <c r="CZ88" s="165">
        <v>6</v>
      </c>
      <c r="DA88" s="165">
        <v>47</v>
      </c>
      <c r="DB88" s="165">
        <v>38</v>
      </c>
      <c r="DC88" s="165">
        <v>43</v>
      </c>
      <c r="DD88" s="165">
        <v>46</v>
      </c>
      <c r="DE88" s="165">
        <v>47</v>
      </c>
      <c r="DF88" s="165">
        <v>48</v>
      </c>
      <c r="DG88" s="165">
        <v>58</v>
      </c>
      <c r="DH88" s="165">
        <v>60</v>
      </c>
      <c r="DI88" s="165">
        <v>59</v>
      </c>
      <c r="DJ88" s="165">
        <v>94</v>
      </c>
      <c r="DK88" s="165">
        <v>104</v>
      </c>
      <c r="DL88" s="165">
        <v>83</v>
      </c>
      <c r="DM88" s="165">
        <v>74</v>
      </c>
      <c r="DN88" s="165">
        <v>280</v>
      </c>
      <c r="DO88" s="165">
        <v>119</v>
      </c>
      <c r="DP88" s="165">
        <v>355</v>
      </c>
      <c r="DQ88" s="165">
        <v>446</v>
      </c>
      <c r="DR88" s="165">
        <v>754</v>
      </c>
      <c r="DS88" s="165">
        <v>801</v>
      </c>
      <c r="DT88" s="165">
        <v>1</v>
      </c>
      <c r="DU88" s="165">
        <v>152</v>
      </c>
      <c r="DV88" s="165">
        <v>204</v>
      </c>
      <c r="DW88" s="165">
        <v>1</v>
      </c>
      <c r="DX88" s="165">
        <v>205</v>
      </c>
      <c r="DY88" s="165">
        <v>802</v>
      </c>
      <c r="DZ88" s="165">
        <v>29</v>
      </c>
      <c r="EA88" s="166">
        <v>48.95</v>
      </c>
      <c r="EB88" s="166">
        <v>44.95</v>
      </c>
      <c r="EC88" s="166">
        <v>16.490000000000002</v>
      </c>
      <c r="ED88" s="166">
        <v>24.829999999999995</v>
      </c>
      <c r="EE88" s="166">
        <v>0</v>
      </c>
      <c r="EF88" s="166">
        <v>49.95</v>
      </c>
      <c r="EG88" s="167">
        <v>6.5822949117341711E-2</v>
      </c>
      <c r="EH88" s="165"/>
      <c r="EI88" s="165">
        <v>47</v>
      </c>
      <c r="EJ88" s="165">
        <v>753</v>
      </c>
      <c r="EK88" s="165">
        <v>292</v>
      </c>
      <c r="EL88" s="165">
        <v>117</v>
      </c>
      <c r="EM88" s="165">
        <v>344</v>
      </c>
      <c r="EN88" s="165">
        <v>800</v>
      </c>
      <c r="EO88" s="165">
        <v>0</v>
      </c>
      <c r="EP88" s="165">
        <v>201</v>
      </c>
      <c r="EQ88" s="165">
        <v>201</v>
      </c>
      <c r="ER88" s="165">
        <v>199</v>
      </c>
      <c r="ES88" s="165">
        <v>2</v>
      </c>
      <c r="ET88" s="165">
        <v>0</v>
      </c>
      <c r="EU88" s="166">
        <v>17.8</v>
      </c>
      <c r="EV88" s="166">
        <v>0.2</v>
      </c>
      <c r="EW88" s="166">
        <v>3.6</v>
      </c>
      <c r="EX88" s="166">
        <v>1</v>
      </c>
      <c r="EY88" s="166">
        <v>12.6</v>
      </c>
      <c r="EZ88" s="166">
        <v>35.200000000000003</v>
      </c>
      <c r="FA88" s="166">
        <v>1.2777777777777777</v>
      </c>
      <c r="FB88" s="166">
        <v>44.06666666666667</v>
      </c>
      <c r="FC88" s="166">
        <v>45.344444444444441</v>
      </c>
      <c r="FD88" s="166">
        <v>37.455555555555556</v>
      </c>
      <c r="FE88" s="166">
        <v>42.711111111111109</v>
      </c>
      <c r="FF88" s="166">
        <v>44.083333333333336</v>
      </c>
      <c r="FG88" s="166">
        <v>46.716666666666669</v>
      </c>
      <c r="FH88" s="166">
        <v>47.305555555555557</v>
      </c>
      <c r="FI88" s="166">
        <v>59.655555555555559</v>
      </c>
      <c r="FJ88" s="166">
        <v>59.855555555555554</v>
      </c>
      <c r="FK88" s="166">
        <v>58.555555555555557</v>
      </c>
      <c r="FL88" s="166">
        <v>93.111111111111114</v>
      </c>
      <c r="FM88" s="166">
        <v>102.19444444444444</v>
      </c>
      <c r="FN88" s="166">
        <v>79.37222222222222</v>
      </c>
      <c r="FO88" s="166">
        <v>72.772222222222226</v>
      </c>
      <c r="FP88" s="166">
        <v>277.92777777777781</v>
      </c>
      <c r="FQ88" s="166">
        <v>118.41111111111111</v>
      </c>
      <c r="FR88" s="166">
        <v>347.45</v>
      </c>
      <c r="FS88" s="166">
        <v>441.68333333333334</v>
      </c>
      <c r="FT88" s="166">
        <v>743.78888888888901</v>
      </c>
      <c r="FU88" s="166">
        <v>789.13333333333344</v>
      </c>
      <c r="FV88" s="166">
        <v>196.36111111111111</v>
      </c>
      <c r="FW88" s="166">
        <v>1.7833333333333334</v>
      </c>
      <c r="FX88" s="166">
        <v>198.14444444444445</v>
      </c>
      <c r="FY88" s="166">
        <v>790.91666666666674</v>
      </c>
      <c r="FZ88" s="165">
        <v>3</v>
      </c>
      <c r="GA88" s="165">
        <v>42</v>
      </c>
      <c r="GB88" s="165">
        <v>45</v>
      </c>
      <c r="GC88" s="165">
        <v>48</v>
      </c>
      <c r="GD88" s="165">
        <v>43</v>
      </c>
      <c r="GE88" s="165">
        <v>44</v>
      </c>
      <c r="GF88" s="165">
        <v>46</v>
      </c>
      <c r="GG88" s="165">
        <v>45</v>
      </c>
      <c r="GH88" s="165">
        <v>53</v>
      </c>
      <c r="GI88" s="165">
        <v>61</v>
      </c>
      <c r="GJ88" s="165">
        <v>61</v>
      </c>
      <c r="GK88" s="165">
        <v>92</v>
      </c>
      <c r="GL88" s="165">
        <v>87</v>
      </c>
      <c r="GM88" s="165">
        <v>86</v>
      </c>
      <c r="GN88" s="165">
        <v>73</v>
      </c>
      <c r="GO88" s="165">
        <v>279</v>
      </c>
      <c r="GP88" s="165">
        <v>122</v>
      </c>
      <c r="GQ88" s="165">
        <v>338</v>
      </c>
      <c r="GR88" s="165">
        <v>446</v>
      </c>
      <c r="GS88" s="165">
        <v>739</v>
      </c>
      <c r="GT88" s="165">
        <v>784</v>
      </c>
      <c r="GU88" s="165">
        <v>0</v>
      </c>
      <c r="GV88" s="165">
        <v>111</v>
      </c>
      <c r="GW88" s="165">
        <v>174</v>
      </c>
      <c r="GX88" s="165">
        <v>4</v>
      </c>
      <c r="GY88" s="165">
        <v>178</v>
      </c>
      <c r="GZ88" s="165">
        <v>788</v>
      </c>
      <c r="HA88" s="165">
        <v>25</v>
      </c>
      <c r="HB88" s="166">
        <v>50.95</v>
      </c>
      <c r="HC88" s="166">
        <v>46.95</v>
      </c>
      <c r="HD88" s="166">
        <v>17.080000000000002</v>
      </c>
      <c r="HE88" s="166">
        <v>26.239999999999991</v>
      </c>
      <c r="HF88" s="166"/>
      <c r="HG88" s="166">
        <v>50.45</v>
      </c>
      <c r="HH88" s="166">
        <v>0</v>
      </c>
      <c r="HI88" s="166">
        <v>175</v>
      </c>
      <c r="HJ88" s="166">
        <v>175</v>
      </c>
      <c r="HK88" s="166">
        <v>172</v>
      </c>
      <c r="HL88" s="166">
        <v>3</v>
      </c>
      <c r="HM88" s="166">
        <v>0</v>
      </c>
      <c r="HN88" s="166">
        <v>47</v>
      </c>
      <c r="HO88" s="166">
        <v>777</v>
      </c>
      <c r="HP88" s="166">
        <v>298</v>
      </c>
      <c r="HQ88" s="166">
        <v>126</v>
      </c>
      <c r="HR88" s="166">
        <v>353</v>
      </c>
      <c r="HS88" s="166">
        <v>824</v>
      </c>
      <c r="HT88" s="166">
        <f>FY26_FE_Data_April15[[#This Row],[Oct 1, 2026 (CDC) - K]]+FY26_FE_Data_April15[[#This Row],[Oct 1, 2026 (CDC) - Grades 1-6]]+FY26_FE_Data_April15[[#This Row],[Oct 1, 2026 (CDC) - Grades 7-8]]</f>
        <v>471</v>
      </c>
      <c r="HU88" s="166">
        <v>0</v>
      </c>
      <c r="HW88" s="170"/>
      <c r="HY88" s="170"/>
    </row>
    <row r="89" spans="1:233" ht="39">
      <c r="A89" s="158" t="s">
        <v>479</v>
      </c>
      <c r="B89" s="159" t="s">
        <v>480</v>
      </c>
      <c r="C89" s="160" t="s">
        <v>481</v>
      </c>
      <c r="D89" s="160" t="s">
        <v>139</v>
      </c>
      <c r="E89" s="159" t="s">
        <v>784</v>
      </c>
      <c r="F89" s="159" t="s">
        <v>784</v>
      </c>
      <c r="G89" s="159"/>
      <c r="H89" s="161">
        <v>22.988888888888887</v>
      </c>
      <c r="I89" s="161">
        <v>1</v>
      </c>
      <c r="J89" s="161">
        <v>23.988888888888887</v>
      </c>
      <c r="K89" s="162">
        <v>20</v>
      </c>
      <c r="L89" s="162">
        <v>125</v>
      </c>
      <c r="M89" s="162">
        <v>25</v>
      </c>
      <c r="N89" s="162">
        <v>0</v>
      </c>
      <c r="O89" s="162">
        <v>170</v>
      </c>
      <c r="P89" s="162">
        <v>150</v>
      </c>
      <c r="Q89" s="162">
        <v>170</v>
      </c>
      <c r="R89" s="162">
        <v>1</v>
      </c>
      <c r="S89" s="160">
        <v>18.816666666666666</v>
      </c>
      <c r="T89" s="160">
        <v>19.633333333333333</v>
      </c>
      <c r="U89" s="160">
        <v>20.144444444444446</v>
      </c>
      <c r="V89" s="160">
        <v>21</v>
      </c>
      <c r="W89" s="160">
        <v>21</v>
      </c>
      <c r="X89" s="160">
        <v>20.827777777777779</v>
      </c>
      <c r="Y89" s="160">
        <v>19.977777777777778</v>
      </c>
      <c r="Z89" s="160">
        <v>12.644444444444444</v>
      </c>
      <c r="AA89" s="160">
        <v>9.9111111111111114</v>
      </c>
      <c r="AB89" s="160">
        <v>0</v>
      </c>
      <c r="AC89" s="160">
        <v>0</v>
      </c>
      <c r="AD89" s="160">
        <v>0</v>
      </c>
      <c r="AE89" s="160">
        <v>0</v>
      </c>
      <c r="AF89" s="160">
        <v>122.58333333333333</v>
      </c>
      <c r="AG89" s="160">
        <v>22.555555555555557</v>
      </c>
      <c r="AH89" s="160">
        <v>0</v>
      </c>
      <c r="AI89" s="160">
        <v>163.95555555555558</v>
      </c>
      <c r="AJ89" s="160">
        <v>145.13888888888886</v>
      </c>
      <c r="AK89" s="160">
        <v>163.95555555555558</v>
      </c>
      <c r="AL89" s="161">
        <v>29.066666666666666</v>
      </c>
      <c r="AM89" s="161">
        <v>0.33888888888888891</v>
      </c>
      <c r="AN89" s="161">
        <v>29.405555555555555</v>
      </c>
      <c r="AO89" s="161">
        <v>164.29444444444448</v>
      </c>
      <c r="AP89" s="162">
        <v>19</v>
      </c>
      <c r="AQ89" s="168">
        <v>15</v>
      </c>
      <c r="AR89" s="160">
        <v>19</v>
      </c>
      <c r="AS89" s="160">
        <v>19</v>
      </c>
      <c r="AT89" s="160">
        <v>20</v>
      </c>
      <c r="AU89" s="160">
        <v>20</v>
      </c>
      <c r="AV89" s="160">
        <v>20</v>
      </c>
      <c r="AW89" s="160">
        <v>20</v>
      </c>
      <c r="AX89" s="160">
        <v>14</v>
      </c>
      <c r="AY89" s="160">
        <v>0</v>
      </c>
      <c r="AZ89" s="160">
        <v>0</v>
      </c>
      <c r="BA89" s="160">
        <v>0</v>
      </c>
      <c r="BB89" s="160">
        <v>0</v>
      </c>
      <c r="BC89" s="160">
        <v>113</v>
      </c>
      <c r="BD89" s="160">
        <v>34</v>
      </c>
      <c r="BE89" s="160">
        <v>0</v>
      </c>
      <c r="BF89" s="160">
        <v>166</v>
      </c>
      <c r="BG89" s="160">
        <v>147</v>
      </c>
      <c r="BH89" s="160">
        <v>166</v>
      </c>
      <c r="BI89" s="160">
        <v>19</v>
      </c>
      <c r="BJ89" s="160">
        <v>0</v>
      </c>
      <c r="BK89" s="160">
        <v>0</v>
      </c>
      <c r="BL89" s="160">
        <v>31</v>
      </c>
      <c r="BM89" s="160">
        <v>33</v>
      </c>
      <c r="BN89" s="162">
        <v>2</v>
      </c>
      <c r="BO89" s="162">
        <v>35</v>
      </c>
      <c r="BP89" s="162">
        <v>6</v>
      </c>
      <c r="BQ89" s="163">
        <v>5.9722222222222232E-2</v>
      </c>
      <c r="BR89" s="164">
        <v>7.65</v>
      </c>
      <c r="BS89" s="164">
        <v>7.65</v>
      </c>
      <c r="BT89" s="164">
        <v>6.25</v>
      </c>
      <c r="BU89" s="164">
        <v>8.65</v>
      </c>
      <c r="BV89" s="165">
        <v>0</v>
      </c>
      <c r="BW89" s="165">
        <v>0</v>
      </c>
      <c r="BX89" s="166">
        <v>0</v>
      </c>
      <c r="BY89" s="166">
        <v>0</v>
      </c>
      <c r="BZ89" s="166">
        <v>19.383333</v>
      </c>
      <c r="CA89" s="166">
        <v>19.383333333333333</v>
      </c>
      <c r="CB89" s="166">
        <v>14.477777777777778</v>
      </c>
      <c r="CC89" s="166">
        <v>18.644444444444446</v>
      </c>
      <c r="CD89" s="166">
        <v>19.2</v>
      </c>
      <c r="CE89" s="166">
        <v>20</v>
      </c>
      <c r="CF89" s="166">
        <v>20.344444444444445</v>
      </c>
      <c r="CG89" s="166">
        <v>19.116666666666667</v>
      </c>
      <c r="CH89" s="166">
        <v>18.183333333333334</v>
      </c>
      <c r="CI89" s="166">
        <v>13.811111111111112</v>
      </c>
      <c r="CJ89" s="166">
        <v>0</v>
      </c>
      <c r="CK89" s="166">
        <v>0</v>
      </c>
      <c r="CL89" s="166">
        <v>0</v>
      </c>
      <c r="CM89" s="166">
        <v>0</v>
      </c>
      <c r="CN89" s="166">
        <v>111.78333333333333</v>
      </c>
      <c r="CO89" s="166">
        <v>31.994444444444447</v>
      </c>
      <c r="CP89" s="166">
        <v>0</v>
      </c>
      <c r="CQ89" s="166">
        <v>163.16111111111113</v>
      </c>
      <c r="CR89" s="166">
        <v>143.77777777777777</v>
      </c>
      <c r="CS89" s="166">
        <v>163.16111111111113</v>
      </c>
      <c r="CT89" s="166">
        <v>29.7222222222222</v>
      </c>
      <c r="CU89" s="166">
        <v>1.95</v>
      </c>
      <c r="CV89" s="166">
        <v>31.672222222222199</v>
      </c>
      <c r="CW89" s="166">
        <v>165.11111111111111</v>
      </c>
      <c r="CX89" s="166">
        <v>0</v>
      </c>
      <c r="CY89" s="166">
        <v>34</v>
      </c>
      <c r="CZ89" s="165">
        <v>0</v>
      </c>
      <c r="DA89" s="165">
        <v>34</v>
      </c>
      <c r="DB89" s="165">
        <v>23</v>
      </c>
      <c r="DC89" s="165">
        <v>22</v>
      </c>
      <c r="DD89" s="165">
        <v>22</v>
      </c>
      <c r="DE89" s="165">
        <v>23</v>
      </c>
      <c r="DF89" s="165">
        <v>22</v>
      </c>
      <c r="DG89" s="165">
        <v>16</v>
      </c>
      <c r="DH89" s="165">
        <v>0</v>
      </c>
      <c r="DI89" s="165">
        <v>0</v>
      </c>
      <c r="DJ89" s="165">
        <v>0</v>
      </c>
      <c r="DK89" s="165">
        <v>0</v>
      </c>
      <c r="DL89" s="165">
        <v>0</v>
      </c>
      <c r="DM89" s="165">
        <v>0</v>
      </c>
      <c r="DN89" s="165">
        <v>128</v>
      </c>
      <c r="DO89" s="165">
        <v>0</v>
      </c>
      <c r="DP89" s="165">
        <v>0</v>
      </c>
      <c r="DQ89" s="165">
        <v>162</v>
      </c>
      <c r="DR89" s="165">
        <v>128</v>
      </c>
      <c r="DS89" s="165">
        <v>162</v>
      </c>
      <c r="DT89" s="165">
        <v>0</v>
      </c>
      <c r="DU89" s="165">
        <v>43</v>
      </c>
      <c r="DV89" s="165">
        <v>24</v>
      </c>
      <c r="DW89" s="165">
        <v>0</v>
      </c>
      <c r="DX89" s="165">
        <v>24</v>
      </c>
      <c r="DY89" s="165">
        <v>162</v>
      </c>
      <c r="DZ89" s="165">
        <v>6</v>
      </c>
      <c r="EA89" s="166">
        <v>13.450000000000001</v>
      </c>
      <c r="EB89" s="166">
        <v>12.450000000000001</v>
      </c>
      <c r="EC89" s="166">
        <v>10.55</v>
      </c>
      <c r="ED89" s="166">
        <v>0</v>
      </c>
      <c r="EE89" s="166">
        <v>0</v>
      </c>
      <c r="EF89" s="166">
        <v>13.45</v>
      </c>
      <c r="EG89" s="167">
        <v>5.4722222222222172E-2</v>
      </c>
      <c r="EH89" s="165"/>
      <c r="EI89" s="165">
        <v>36</v>
      </c>
      <c r="EJ89" s="165">
        <v>134</v>
      </c>
      <c r="EK89" s="165">
        <v>134</v>
      </c>
      <c r="EL89" s="165">
        <v>0</v>
      </c>
      <c r="EM89" s="165">
        <v>0</v>
      </c>
      <c r="EN89" s="165">
        <v>170</v>
      </c>
      <c r="EO89" s="165">
        <v>0</v>
      </c>
      <c r="EP89" s="165">
        <v>26</v>
      </c>
      <c r="EQ89" s="165">
        <v>26</v>
      </c>
      <c r="ER89" s="165">
        <v>26</v>
      </c>
      <c r="ES89" s="165">
        <v>0</v>
      </c>
      <c r="ET89" s="165">
        <v>0</v>
      </c>
      <c r="EU89" s="166">
        <v>7.8</v>
      </c>
      <c r="EV89" s="166">
        <v>0</v>
      </c>
      <c r="EW89" s="166">
        <v>0.8</v>
      </c>
      <c r="EX89" s="166">
        <v>1.2</v>
      </c>
      <c r="EY89" s="166">
        <v>1.3</v>
      </c>
      <c r="EZ89" s="166">
        <v>11.1</v>
      </c>
      <c r="FA89" s="166">
        <v>0</v>
      </c>
      <c r="FB89" s="166">
        <v>33.283333333333331</v>
      </c>
      <c r="FC89" s="166">
        <v>33.283333333333331</v>
      </c>
      <c r="FD89" s="166">
        <v>23</v>
      </c>
      <c r="FE89" s="166">
        <v>21.555555555555557</v>
      </c>
      <c r="FF89" s="166">
        <v>21.822222222222223</v>
      </c>
      <c r="FG89" s="166">
        <v>23</v>
      </c>
      <c r="FH89" s="166">
        <v>21.983333333333334</v>
      </c>
      <c r="FI89" s="166">
        <v>16.611111111111111</v>
      </c>
      <c r="FJ89" s="166">
        <v>0</v>
      </c>
      <c r="FK89" s="166">
        <v>0</v>
      </c>
      <c r="FL89" s="166">
        <v>0</v>
      </c>
      <c r="FM89" s="166">
        <v>0</v>
      </c>
      <c r="FN89" s="166">
        <v>0</v>
      </c>
      <c r="FO89" s="166">
        <v>0</v>
      </c>
      <c r="FP89" s="166">
        <v>127.97222222222223</v>
      </c>
      <c r="FQ89" s="166">
        <v>0</v>
      </c>
      <c r="FR89" s="166">
        <v>0</v>
      </c>
      <c r="FS89" s="166">
        <v>161.25555555555556</v>
      </c>
      <c r="FT89" s="166">
        <v>127.97222222222223</v>
      </c>
      <c r="FU89" s="166">
        <v>161.25555555555556</v>
      </c>
      <c r="FV89" s="166">
        <v>26.088888888888889</v>
      </c>
      <c r="FW89" s="166">
        <v>0</v>
      </c>
      <c r="FX89" s="166">
        <v>26.088888888888889</v>
      </c>
      <c r="FY89" s="166">
        <v>161.25555555555556</v>
      </c>
      <c r="FZ89" s="165">
        <v>0</v>
      </c>
      <c r="GA89" s="165">
        <v>43</v>
      </c>
      <c r="GB89" s="165">
        <v>43</v>
      </c>
      <c r="GC89" s="165">
        <v>34</v>
      </c>
      <c r="GD89" s="165">
        <v>22</v>
      </c>
      <c r="GE89" s="165">
        <v>21</v>
      </c>
      <c r="GF89" s="165">
        <v>22</v>
      </c>
      <c r="GG89" s="165">
        <v>23</v>
      </c>
      <c r="GH89" s="165">
        <v>22</v>
      </c>
      <c r="GI89" s="165">
        <v>0</v>
      </c>
      <c r="GJ89" s="165">
        <v>0</v>
      </c>
      <c r="GK89" s="165">
        <v>0</v>
      </c>
      <c r="GL89" s="165">
        <v>0</v>
      </c>
      <c r="GM89" s="165">
        <v>0</v>
      </c>
      <c r="GN89" s="165">
        <v>0</v>
      </c>
      <c r="GO89" s="165">
        <v>144</v>
      </c>
      <c r="GP89" s="165">
        <v>0</v>
      </c>
      <c r="GQ89" s="165">
        <v>0</v>
      </c>
      <c r="GR89" s="165">
        <v>187</v>
      </c>
      <c r="GS89" s="165">
        <v>144</v>
      </c>
      <c r="GT89" s="165">
        <v>187</v>
      </c>
      <c r="GU89" s="165">
        <v>0</v>
      </c>
      <c r="GV89" s="165">
        <v>42</v>
      </c>
      <c r="GW89" s="165">
        <v>20</v>
      </c>
      <c r="GX89" s="165">
        <v>0</v>
      </c>
      <c r="GY89" s="165">
        <v>20</v>
      </c>
      <c r="GZ89" s="165">
        <v>187</v>
      </c>
      <c r="HA89" s="165">
        <v>6</v>
      </c>
      <c r="HB89" s="166">
        <v>14.450000000000001</v>
      </c>
      <c r="HC89" s="166">
        <v>13.450000000000001</v>
      </c>
      <c r="HD89" s="166">
        <v>11.55</v>
      </c>
      <c r="HE89" s="166">
        <v>0</v>
      </c>
      <c r="HF89" s="166"/>
      <c r="HG89" s="166">
        <v>14.45</v>
      </c>
      <c r="HH89" s="166">
        <v>0</v>
      </c>
      <c r="HI89" s="166">
        <v>23</v>
      </c>
      <c r="HJ89" s="166">
        <v>23</v>
      </c>
      <c r="HK89" s="166">
        <v>23</v>
      </c>
      <c r="HL89" s="166">
        <v>0</v>
      </c>
      <c r="HM89" s="166">
        <v>0</v>
      </c>
      <c r="HN89" s="166">
        <v>28</v>
      </c>
      <c r="HO89" s="166">
        <v>173</v>
      </c>
      <c r="HP89" s="166">
        <v>173</v>
      </c>
      <c r="HQ89" s="166">
        <v>0</v>
      </c>
      <c r="HR89" s="166">
        <v>0</v>
      </c>
      <c r="HS89" s="166">
        <v>201</v>
      </c>
      <c r="HT89" s="166">
        <f>FY26_FE_Data_April15[[#This Row],[Oct 1, 2026 (CDC) - K]]+FY26_FE_Data_April15[[#This Row],[Oct 1, 2026 (CDC) - Grades 1-6]]+FY26_FE_Data_April15[[#This Row],[Oct 1, 2026 (CDC) - Grades 7-8]]</f>
        <v>201</v>
      </c>
      <c r="HU89" s="166">
        <v>0</v>
      </c>
      <c r="HW89" s="170"/>
      <c r="HY89" s="170"/>
    </row>
    <row r="90" spans="1:233" s="180" customFormat="1">
      <c r="A90" s="177" t="s">
        <v>482</v>
      </c>
      <c r="B90" s="178" t="s">
        <v>483</v>
      </c>
      <c r="C90" s="171" t="s">
        <v>484</v>
      </c>
      <c r="D90" s="171" t="s">
        <v>139</v>
      </c>
      <c r="E90" s="178" t="s">
        <v>784</v>
      </c>
      <c r="F90" s="178" t="s">
        <v>784</v>
      </c>
      <c r="G90" s="178" t="s">
        <v>785</v>
      </c>
      <c r="H90" s="179">
        <v>40.222222222222221</v>
      </c>
      <c r="I90" s="179">
        <v>9.7055555555555557</v>
      </c>
      <c r="J90" s="179">
        <v>49.927777777777777</v>
      </c>
      <c r="K90" s="179">
        <v>47</v>
      </c>
      <c r="L90" s="179">
        <v>244</v>
      </c>
      <c r="M90" s="179">
        <v>0</v>
      </c>
      <c r="N90" s="179">
        <v>0</v>
      </c>
      <c r="O90" s="179">
        <v>291</v>
      </c>
      <c r="P90" s="179">
        <v>244</v>
      </c>
      <c r="Q90" s="179">
        <v>291</v>
      </c>
      <c r="R90" s="179">
        <v>6</v>
      </c>
      <c r="S90" s="179">
        <v>45.766666666666666</v>
      </c>
      <c r="T90" s="179">
        <v>37.894444444444446</v>
      </c>
      <c r="U90" s="179">
        <v>33.677777777777777</v>
      </c>
      <c r="V90" s="179">
        <v>44.494444444444447</v>
      </c>
      <c r="W90" s="179">
        <v>38.572222222222223</v>
      </c>
      <c r="X90" s="179">
        <v>32.216666666666669</v>
      </c>
      <c r="Y90" s="179">
        <v>37.505555555555553</v>
      </c>
      <c r="Z90" s="179">
        <v>0</v>
      </c>
      <c r="AA90" s="179">
        <v>0</v>
      </c>
      <c r="AB90" s="179">
        <v>0</v>
      </c>
      <c r="AC90" s="179">
        <v>0</v>
      </c>
      <c r="AD90" s="179">
        <v>0</v>
      </c>
      <c r="AE90" s="179">
        <v>0</v>
      </c>
      <c r="AF90" s="179">
        <v>224.36111111111111</v>
      </c>
      <c r="AG90" s="179">
        <v>0</v>
      </c>
      <c r="AH90" s="179">
        <v>0</v>
      </c>
      <c r="AI90" s="179">
        <v>270.12777777777779</v>
      </c>
      <c r="AJ90" s="179">
        <v>224.36111111111111</v>
      </c>
      <c r="AK90" s="179">
        <v>270.12777777777779</v>
      </c>
      <c r="AL90" s="179">
        <v>28.866666666666667</v>
      </c>
      <c r="AM90" s="179">
        <v>5.7388888888888889</v>
      </c>
      <c r="AN90" s="179">
        <v>34.605555555555554</v>
      </c>
      <c r="AO90" s="179">
        <v>275.86666666666667</v>
      </c>
      <c r="AP90" s="179">
        <v>33</v>
      </c>
      <c r="AQ90" s="179">
        <v>51</v>
      </c>
      <c r="AR90" s="179">
        <v>32</v>
      </c>
      <c r="AS90" s="179">
        <v>33</v>
      </c>
      <c r="AT90" s="179">
        <v>42</v>
      </c>
      <c r="AU90" s="179">
        <v>41</v>
      </c>
      <c r="AV90" s="179">
        <v>33</v>
      </c>
      <c r="AW90" s="179">
        <v>0</v>
      </c>
      <c r="AX90" s="179">
        <v>0</v>
      </c>
      <c r="AY90" s="179">
        <v>0</v>
      </c>
      <c r="AZ90" s="179">
        <v>0</v>
      </c>
      <c r="BA90" s="179">
        <v>0</v>
      </c>
      <c r="BB90" s="179">
        <v>0</v>
      </c>
      <c r="BC90" s="179">
        <v>232</v>
      </c>
      <c r="BD90" s="179">
        <v>0</v>
      </c>
      <c r="BE90" s="179">
        <v>0</v>
      </c>
      <c r="BF90" s="179">
        <v>265</v>
      </c>
      <c r="BG90" s="179">
        <v>232</v>
      </c>
      <c r="BH90" s="179">
        <v>265</v>
      </c>
      <c r="BI90" s="179">
        <v>33</v>
      </c>
      <c r="BJ90" s="179">
        <v>0</v>
      </c>
      <c r="BK90" s="179">
        <v>0</v>
      </c>
      <c r="BL90" s="179">
        <v>114</v>
      </c>
      <c r="BM90" s="179">
        <v>24</v>
      </c>
      <c r="BN90" s="179">
        <v>4</v>
      </c>
      <c r="BO90" s="179">
        <v>28</v>
      </c>
      <c r="BP90" s="179">
        <v>67</v>
      </c>
      <c r="BQ90" s="179">
        <v>7.0833333333333359E-2</v>
      </c>
      <c r="BR90" s="179">
        <v>21</v>
      </c>
      <c r="BS90" s="179">
        <v>19</v>
      </c>
      <c r="BT90" s="179">
        <v>19</v>
      </c>
      <c r="BU90" s="179">
        <v>21</v>
      </c>
      <c r="BV90" s="179">
        <v>0</v>
      </c>
      <c r="BW90" s="179">
        <v>0</v>
      </c>
      <c r="BX90" s="179">
        <v>0</v>
      </c>
      <c r="BY90" s="179">
        <v>0</v>
      </c>
      <c r="BZ90" s="179">
        <v>32.577776999999998</v>
      </c>
      <c r="CA90" s="179">
        <v>32.577777777777776</v>
      </c>
      <c r="CB90" s="179">
        <v>49.911111111111111</v>
      </c>
      <c r="CC90" s="179">
        <v>32.761111111111113</v>
      </c>
      <c r="CD90" s="179">
        <v>27.627777777777776</v>
      </c>
      <c r="CE90" s="179">
        <v>41.488888888888887</v>
      </c>
      <c r="CF90" s="179">
        <v>38.927777777777777</v>
      </c>
      <c r="CG90" s="179">
        <v>32.43333333333333</v>
      </c>
      <c r="CH90" s="179">
        <v>0</v>
      </c>
      <c r="CI90" s="179">
        <v>0</v>
      </c>
      <c r="CJ90" s="179">
        <v>0</v>
      </c>
      <c r="CK90" s="179">
        <v>0</v>
      </c>
      <c r="CL90" s="179">
        <v>0</v>
      </c>
      <c r="CM90" s="179">
        <v>0</v>
      </c>
      <c r="CN90" s="179">
        <v>223.15</v>
      </c>
      <c r="CO90" s="179">
        <v>0</v>
      </c>
      <c r="CP90" s="179">
        <v>0</v>
      </c>
      <c r="CQ90" s="179">
        <v>255.72777777777776</v>
      </c>
      <c r="CR90" s="179">
        <v>223.15</v>
      </c>
      <c r="CS90" s="179">
        <v>255.72777777777776</v>
      </c>
      <c r="CT90" s="179">
        <v>31.05</v>
      </c>
      <c r="CU90" s="179">
        <v>3.4777777777777801</v>
      </c>
      <c r="CV90" s="179">
        <v>34.527777777777779</v>
      </c>
      <c r="CW90" s="179">
        <v>259.20555555555552</v>
      </c>
      <c r="CX90" s="179">
        <v>0</v>
      </c>
      <c r="CY90" s="179">
        <v>35</v>
      </c>
      <c r="CZ90" s="179">
        <v>0</v>
      </c>
      <c r="DA90" s="179">
        <v>35</v>
      </c>
      <c r="DB90" s="179">
        <v>33</v>
      </c>
      <c r="DC90" s="179">
        <v>44</v>
      </c>
      <c r="DD90" s="179">
        <v>41</v>
      </c>
      <c r="DE90" s="179">
        <v>28</v>
      </c>
      <c r="DF90" s="179">
        <v>43</v>
      </c>
      <c r="DG90" s="179">
        <v>33</v>
      </c>
      <c r="DH90" s="179">
        <v>0</v>
      </c>
      <c r="DI90" s="179">
        <v>0</v>
      </c>
      <c r="DJ90" s="179">
        <v>0</v>
      </c>
      <c r="DK90" s="179">
        <v>0</v>
      </c>
      <c r="DL90" s="179">
        <v>0</v>
      </c>
      <c r="DM90" s="179">
        <v>0</v>
      </c>
      <c r="DN90" s="179">
        <v>222</v>
      </c>
      <c r="DO90" s="179">
        <v>0</v>
      </c>
      <c r="DP90" s="179">
        <v>0</v>
      </c>
      <c r="DQ90" s="179">
        <v>257</v>
      </c>
      <c r="DR90" s="179">
        <v>222</v>
      </c>
      <c r="DS90" s="179">
        <v>257</v>
      </c>
      <c r="DT90" s="179">
        <v>0</v>
      </c>
      <c r="DU90" s="179">
        <v>79</v>
      </c>
      <c r="DV90" s="179">
        <v>30</v>
      </c>
      <c r="DW90" s="179">
        <v>3</v>
      </c>
      <c r="DX90" s="179">
        <v>33</v>
      </c>
      <c r="DY90" s="179">
        <v>260</v>
      </c>
      <c r="DZ90" s="179">
        <v>96</v>
      </c>
      <c r="EA90" s="179">
        <v>19.600000000000001</v>
      </c>
      <c r="EB90" s="179">
        <v>17.600000000000001</v>
      </c>
      <c r="EC90" s="179">
        <v>16.600000000000001</v>
      </c>
      <c r="ED90" s="179">
        <v>0</v>
      </c>
      <c r="EE90" s="179">
        <v>0</v>
      </c>
      <c r="EF90" s="179">
        <v>20.6</v>
      </c>
      <c r="EG90" s="179">
        <v>7.678571428571429E-2</v>
      </c>
      <c r="EH90" s="179"/>
      <c r="EI90" s="179">
        <v>34</v>
      </c>
      <c r="EJ90" s="179">
        <v>222</v>
      </c>
      <c r="EK90" s="179">
        <v>222</v>
      </c>
      <c r="EL90" s="179">
        <v>0</v>
      </c>
      <c r="EM90" s="179">
        <v>0</v>
      </c>
      <c r="EN90" s="179">
        <v>256</v>
      </c>
      <c r="EO90" s="179">
        <v>0</v>
      </c>
      <c r="EP90" s="179">
        <v>34</v>
      </c>
      <c r="EQ90" s="179">
        <v>34</v>
      </c>
      <c r="ER90" s="179">
        <v>32</v>
      </c>
      <c r="ES90" s="179">
        <v>2</v>
      </c>
      <c r="ET90" s="179">
        <v>3</v>
      </c>
      <c r="EU90" s="179">
        <v>6.2</v>
      </c>
      <c r="EV90" s="179">
        <v>0</v>
      </c>
      <c r="EW90" s="179">
        <v>1.6</v>
      </c>
      <c r="EX90" s="179">
        <v>0</v>
      </c>
      <c r="EY90" s="179">
        <v>5</v>
      </c>
      <c r="EZ90" s="179">
        <v>12.8</v>
      </c>
      <c r="FA90" s="179">
        <v>0</v>
      </c>
      <c r="FB90" s="179">
        <v>35.427777777777777</v>
      </c>
      <c r="FC90" s="179">
        <v>35.427777777777777</v>
      </c>
      <c r="FD90" s="179">
        <v>32.15</v>
      </c>
      <c r="FE90" s="179">
        <v>41.472222222222221</v>
      </c>
      <c r="FF90" s="179">
        <v>41.227777777777774</v>
      </c>
      <c r="FG90" s="179">
        <v>24.5</v>
      </c>
      <c r="FH90" s="179">
        <v>38.133333333333333</v>
      </c>
      <c r="FI90" s="179">
        <v>30.444444444444443</v>
      </c>
      <c r="FJ90" s="179">
        <v>0</v>
      </c>
      <c r="FK90" s="179">
        <v>0</v>
      </c>
      <c r="FL90" s="179">
        <v>0</v>
      </c>
      <c r="FM90" s="179">
        <v>0</v>
      </c>
      <c r="FN90" s="179">
        <v>0</v>
      </c>
      <c r="FO90" s="179">
        <v>0</v>
      </c>
      <c r="FP90" s="179">
        <v>207.92777777777775</v>
      </c>
      <c r="FQ90" s="179">
        <v>0</v>
      </c>
      <c r="FR90" s="179">
        <v>0</v>
      </c>
      <c r="FS90" s="179">
        <v>243.35555555555555</v>
      </c>
      <c r="FT90" s="179">
        <v>207.92777777777775</v>
      </c>
      <c r="FU90" s="179">
        <v>243.35555555555555</v>
      </c>
      <c r="FV90" s="179">
        <v>32.711111111111109</v>
      </c>
      <c r="FW90" s="179">
        <v>4.2277777777777779</v>
      </c>
      <c r="FX90" s="179">
        <v>36.938888888888883</v>
      </c>
      <c r="FY90" s="179">
        <v>247.58333333333334</v>
      </c>
      <c r="FZ90" s="179">
        <v>0</v>
      </c>
      <c r="GA90" s="179">
        <v>28</v>
      </c>
      <c r="GB90" s="179">
        <v>28</v>
      </c>
      <c r="GC90" s="179">
        <v>35</v>
      </c>
      <c r="GD90" s="179">
        <v>34</v>
      </c>
      <c r="GE90" s="179">
        <v>38</v>
      </c>
      <c r="GF90" s="179">
        <v>30</v>
      </c>
      <c r="GG90" s="179">
        <v>25</v>
      </c>
      <c r="GH90" s="179">
        <v>26</v>
      </c>
      <c r="GI90" s="179">
        <v>0</v>
      </c>
      <c r="GJ90" s="179">
        <v>0</v>
      </c>
      <c r="GK90" s="179">
        <v>0</v>
      </c>
      <c r="GL90" s="179">
        <v>0</v>
      </c>
      <c r="GM90" s="179">
        <v>0</v>
      </c>
      <c r="GN90" s="179">
        <v>0</v>
      </c>
      <c r="GO90" s="179">
        <v>188</v>
      </c>
      <c r="GP90" s="179">
        <v>0</v>
      </c>
      <c r="GQ90" s="179">
        <v>0</v>
      </c>
      <c r="GR90" s="179">
        <v>216</v>
      </c>
      <c r="GS90" s="179">
        <v>188</v>
      </c>
      <c r="GT90" s="179">
        <v>216</v>
      </c>
      <c r="GU90" s="179">
        <v>0</v>
      </c>
      <c r="GV90" s="179">
        <v>72</v>
      </c>
      <c r="GW90" s="179">
        <v>30</v>
      </c>
      <c r="GX90" s="179">
        <v>4</v>
      </c>
      <c r="GY90" s="179">
        <v>34</v>
      </c>
      <c r="GZ90" s="179">
        <v>220</v>
      </c>
      <c r="HA90" s="179">
        <v>76</v>
      </c>
      <c r="HB90" s="179">
        <v>18.600000000000001</v>
      </c>
      <c r="HC90" s="179">
        <v>16.600000000000001</v>
      </c>
      <c r="HD90" s="179">
        <v>14.6</v>
      </c>
      <c r="HE90" s="179">
        <v>0</v>
      </c>
      <c r="HF90" s="179"/>
      <c r="HG90" s="179">
        <v>20.6</v>
      </c>
      <c r="HH90" s="179">
        <v>0</v>
      </c>
      <c r="HI90" s="179">
        <v>36</v>
      </c>
      <c r="HJ90" s="179">
        <v>36</v>
      </c>
      <c r="HK90" s="179">
        <v>32</v>
      </c>
      <c r="HL90" s="179">
        <v>4</v>
      </c>
      <c r="HM90" s="179">
        <v>5</v>
      </c>
      <c r="HN90" s="179">
        <v>32</v>
      </c>
      <c r="HO90" s="179">
        <v>198</v>
      </c>
      <c r="HP90" s="179">
        <v>198</v>
      </c>
      <c r="HQ90" s="179">
        <v>0</v>
      </c>
      <c r="HR90" s="179">
        <v>0</v>
      </c>
      <c r="HS90" s="179">
        <v>230</v>
      </c>
      <c r="HT90" s="179">
        <v>230</v>
      </c>
      <c r="HU90" s="179">
        <v>0</v>
      </c>
      <c r="HW90" s="181"/>
      <c r="HY90" s="181"/>
    </row>
    <row r="91" spans="1:233" ht="39">
      <c r="A91" s="158" t="s">
        <v>485</v>
      </c>
      <c r="B91" s="159" t="s">
        <v>486</v>
      </c>
      <c r="C91" s="160" t="s">
        <v>487</v>
      </c>
      <c r="D91" s="160" t="s">
        <v>139</v>
      </c>
      <c r="E91" s="159" t="s">
        <v>784</v>
      </c>
      <c r="F91" s="159" t="s">
        <v>784</v>
      </c>
      <c r="G91" s="159"/>
      <c r="H91" s="161">
        <v>92.911111111111111</v>
      </c>
      <c r="I91" s="161">
        <v>8.5333333333333332</v>
      </c>
      <c r="J91" s="161">
        <v>101.44444444444444</v>
      </c>
      <c r="K91" s="162">
        <v>150</v>
      </c>
      <c r="L91" s="162">
        <v>715</v>
      </c>
      <c r="M91" s="162">
        <v>0</v>
      </c>
      <c r="N91" s="162">
        <v>0</v>
      </c>
      <c r="O91" s="162">
        <v>865</v>
      </c>
      <c r="P91" s="162">
        <v>715</v>
      </c>
      <c r="Q91" s="162">
        <v>865</v>
      </c>
      <c r="R91" s="162">
        <v>8</v>
      </c>
      <c r="S91" s="160">
        <v>147.96666666666667</v>
      </c>
      <c r="T91" s="160">
        <v>139.63333333333333</v>
      </c>
      <c r="U91" s="160">
        <v>123.3</v>
      </c>
      <c r="V91" s="160">
        <v>130.79444444444445</v>
      </c>
      <c r="W91" s="160">
        <v>106.46666666666667</v>
      </c>
      <c r="X91" s="160">
        <v>122.54444444444445</v>
      </c>
      <c r="Y91" s="160">
        <v>82.62777777777778</v>
      </c>
      <c r="Z91" s="160">
        <v>0</v>
      </c>
      <c r="AA91" s="160">
        <v>0</v>
      </c>
      <c r="AB91" s="160">
        <v>0</v>
      </c>
      <c r="AC91" s="160">
        <v>0</v>
      </c>
      <c r="AD91" s="160">
        <v>0</v>
      </c>
      <c r="AE91" s="160">
        <v>0</v>
      </c>
      <c r="AF91" s="160">
        <v>705.36666666666667</v>
      </c>
      <c r="AG91" s="160">
        <v>0</v>
      </c>
      <c r="AH91" s="160">
        <v>0</v>
      </c>
      <c r="AI91" s="160">
        <v>853.33333333333337</v>
      </c>
      <c r="AJ91" s="160">
        <v>705.36666666666667</v>
      </c>
      <c r="AK91" s="160">
        <v>853.33333333333337</v>
      </c>
      <c r="AL91" s="161">
        <v>95.37222222222222</v>
      </c>
      <c r="AM91" s="161">
        <v>9.0777777777777775</v>
      </c>
      <c r="AN91" s="161">
        <v>104.45</v>
      </c>
      <c r="AO91" s="161">
        <v>862.41111111111115</v>
      </c>
      <c r="AP91" s="162">
        <v>128</v>
      </c>
      <c r="AQ91" s="168">
        <v>151</v>
      </c>
      <c r="AR91" s="160">
        <v>137</v>
      </c>
      <c r="AS91" s="160">
        <v>121</v>
      </c>
      <c r="AT91" s="160">
        <v>131</v>
      </c>
      <c r="AU91" s="160">
        <v>112</v>
      </c>
      <c r="AV91" s="160">
        <v>118</v>
      </c>
      <c r="AW91" s="160">
        <v>0</v>
      </c>
      <c r="AX91" s="160">
        <v>0</v>
      </c>
      <c r="AY91" s="160">
        <v>0</v>
      </c>
      <c r="AZ91" s="160">
        <v>0</v>
      </c>
      <c r="BA91" s="160">
        <v>0</v>
      </c>
      <c r="BB91" s="160">
        <v>0</v>
      </c>
      <c r="BC91" s="160">
        <v>770</v>
      </c>
      <c r="BD91" s="160">
        <v>0</v>
      </c>
      <c r="BE91" s="160">
        <v>0</v>
      </c>
      <c r="BF91" s="160">
        <v>898</v>
      </c>
      <c r="BG91" s="160">
        <v>770</v>
      </c>
      <c r="BH91" s="160">
        <v>898</v>
      </c>
      <c r="BI91" s="160">
        <v>51</v>
      </c>
      <c r="BJ91" s="160">
        <v>77</v>
      </c>
      <c r="BK91" s="160">
        <v>0</v>
      </c>
      <c r="BL91" s="160">
        <v>357</v>
      </c>
      <c r="BM91" s="160">
        <v>102</v>
      </c>
      <c r="BN91" s="162">
        <v>12</v>
      </c>
      <c r="BO91" s="162">
        <v>114</v>
      </c>
      <c r="BP91" s="162">
        <v>65</v>
      </c>
      <c r="BQ91" s="163">
        <v>6.3278230403470248E-2</v>
      </c>
      <c r="BR91" s="164">
        <v>52.651000000000003</v>
      </c>
      <c r="BS91" s="164">
        <v>48.901000000000003</v>
      </c>
      <c r="BT91" s="164">
        <v>47.876000000000005</v>
      </c>
      <c r="BU91" s="164">
        <v>52.651000000000003</v>
      </c>
      <c r="BV91" s="165">
        <v>0</v>
      </c>
      <c r="BW91" s="165">
        <v>0</v>
      </c>
      <c r="BX91" s="166">
        <v>0</v>
      </c>
      <c r="BY91" s="166">
        <v>23.35</v>
      </c>
      <c r="BZ91" s="166">
        <v>100.983333</v>
      </c>
      <c r="CA91" s="166">
        <v>124.33333333333333</v>
      </c>
      <c r="CB91" s="166">
        <v>145.41666666666666</v>
      </c>
      <c r="CC91" s="166">
        <v>134.42777777777778</v>
      </c>
      <c r="CD91" s="166">
        <v>118.72777777777777</v>
      </c>
      <c r="CE91" s="166">
        <v>128.11111111111111</v>
      </c>
      <c r="CF91" s="166">
        <v>103.63333333333334</v>
      </c>
      <c r="CG91" s="166">
        <v>114.59444444444445</v>
      </c>
      <c r="CH91" s="166">
        <v>0</v>
      </c>
      <c r="CI91" s="166">
        <v>0</v>
      </c>
      <c r="CJ91" s="166">
        <v>0</v>
      </c>
      <c r="CK91" s="166">
        <v>0</v>
      </c>
      <c r="CL91" s="166">
        <v>0</v>
      </c>
      <c r="CM91" s="166">
        <v>0</v>
      </c>
      <c r="CN91" s="166">
        <v>744.91111111111104</v>
      </c>
      <c r="CO91" s="166">
        <v>0</v>
      </c>
      <c r="CP91" s="166">
        <v>0</v>
      </c>
      <c r="CQ91" s="166">
        <v>869.24444444444441</v>
      </c>
      <c r="CR91" s="166">
        <v>744.91111111111104</v>
      </c>
      <c r="CS91" s="166">
        <v>869.24444444444441</v>
      </c>
      <c r="CT91" s="166">
        <v>104.37222222222201</v>
      </c>
      <c r="CU91" s="166">
        <v>14.327777777777801</v>
      </c>
      <c r="CV91" s="166">
        <v>118.6999999999998</v>
      </c>
      <c r="CW91" s="166">
        <v>883.57222222222219</v>
      </c>
      <c r="CX91" s="166">
        <v>0</v>
      </c>
      <c r="CY91" s="166">
        <v>158</v>
      </c>
      <c r="CZ91" s="165">
        <v>6</v>
      </c>
      <c r="DA91" s="165">
        <v>164</v>
      </c>
      <c r="DB91" s="165">
        <v>136</v>
      </c>
      <c r="DC91" s="165">
        <v>149</v>
      </c>
      <c r="DD91" s="165">
        <v>132</v>
      </c>
      <c r="DE91" s="165">
        <v>114</v>
      </c>
      <c r="DF91" s="165">
        <v>118</v>
      </c>
      <c r="DG91" s="165">
        <v>94</v>
      </c>
      <c r="DH91" s="165">
        <v>0</v>
      </c>
      <c r="DI91" s="165">
        <v>0</v>
      </c>
      <c r="DJ91" s="165">
        <v>0</v>
      </c>
      <c r="DK91" s="165">
        <v>0</v>
      </c>
      <c r="DL91" s="165">
        <v>0</v>
      </c>
      <c r="DM91" s="165">
        <v>0</v>
      </c>
      <c r="DN91" s="165">
        <v>743</v>
      </c>
      <c r="DO91" s="165">
        <v>0</v>
      </c>
      <c r="DP91" s="165">
        <v>0</v>
      </c>
      <c r="DQ91" s="165">
        <v>907</v>
      </c>
      <c r="DR91" s="165">
        <v>743</v>
      </c>
      <c r="DS91" s="165">
        <v>907</v>
      </c>
      <c r="DT91" s="165">
        <v>0</v>
      </c>
      <c r="DU91" s="165">
        <v>300</v>
      </c>
      <c r="DV91" s="165">
        <v>112</v>
      </c>
      <c r="DW91" s="165">
        <v>13</v>
      </c>
      <c r="DX91" s="165">
        <v>125</v>
      </c>
      <c r="DY91" s="165">
        <v>920</v>
      </c>
      <c r="DZ91" s="165">
        <v>75</v>
      </c>
      <c r="EA91" s="166">
        <v>54.937000000000005</v>
      </c>
      <c r="EB91" s="166">
        <v>51.187000000000005</v>
      </c>
      <c r="EC91" s="166">
        <v>42.962000000000003</v>
      </c>
      <c r="ED91" s="166">
        <v>0</v>
      </c>
      <c r="EE91" s="166">
        <v>0</v>
      </c>
      <c r="EF91" s="166">
        <v>55.687000000000005</v>
      </c>
      <c r="EG91" s="167">
        <v>5.9746258905899463E-2</v>
      </c>
      <c r="EH91" s="165"/>
      <c r="EI91" s="165">
        <v>139</v>
      </c>
      <c r="EJ91" s="165">
        <v>766</v>
      </c>
      <c r="EK91" s="165">
        <v>766</v>
      </c>
      <c r="EL91" s="165">
        <v>0</v>
      </c>
      <c r="EM91" s="165">
        <v>0</v>
      </c>
      <c r="EN91" s="165">
        <v>905</v>
      </c>
      <c r="EO91" s="165">
        <v>0</v>
      </c>
      <c r="EP91" s="165">
        <v>123</v>
      </c>
      <c r="EQ91" s="165">
        <v>123</v>
      </c>
      <c r="ER91" s="165">
        <v>111</v>
      </c>
      <c r="ES91" s="165">
        <v>12</v>
      </c>
      <c r="ET91" s="165">
        <v>21</v>
      </c>
      <c r="EU91" s="166">
        <v>45.838000000000001</v>
      </c>
      <c r="EV91" s="166">
        <v>0.83799999999999997</v>
      </c>
      <c r="EW91" s="166">
        <v>7</v>
      </c>
      <c r="EX91" s="166">
        <v>1.48</v>
      </c>
      <c r="EY91" s="166">
        <v>10.113</v>
      </c>
      <c r="EZ91" s="166">
        <v>65.269000000000005</v>
      </c>
      <c r="FA91" s="166">
        <v>0</v>
      </c>
      <c r="FB91" s="166">
        <v>160.92222222222222</v>
      </c>
      <c r="FC91" s="166">
        <v>160.92222222222222</v>
      </c>
      <c r="FD91" s="166">
        <v>128.97777777777779</v>
      </c>
      <c r="FE91" s="166">
        <v>142.61666666666667</v>
      </c>
      <c r="FF91" s="166">
        <v>128.94999999999999</v>
      </c>
      <c r="FG91" s="166">
        <v>107.23888888888889</v>
      </c>
      <c r="FH91" s="166">
        <v>116.22777777777777</v>
      </c>
      <c r="FI91" s="166">
        <v>88.061111111111117</v>
      </c>
      <c r="FJ91" s="166">
        <v>0</v>
      </c>
      <c r="FK91" s="166">
        <v>0</v>
      </c>
      <c r="FL91" s="166">
        <v>0</v>
      </c>
      <c r="FM91" s="166">
        <v>0</v>
      </c>
      <c r="FN91" s="166">
        <v>0</v>
      </c>
      <c r="FO91" s="166">
        <v>0</v>
      </c>
      <c r="FP91" s="166">
        <v>712.07222222222219</v>
      </c>
      <c r="FQ91" s="166">
        <v>0</v>
      </c>
      <c r="FR91" s="166">
        <v>0</v>
      </c>
      <c r="FS91" s="166">
        <v>872.99444444444453</v>
      </c>
      <c r="FT91" s="166">
        <v>712.07222222222219</v>
      </c>
      <c r="FU91" s="166">
        <v>872.99444444444453</v>
      </c>
      <c r="FV91" s="166">
        <v>115.2</v>
      </c>
      <c r="FW91" s="166">
        <v>12.05</v>
      </c>
      <c r="FX91" s="166">
        <v>127.25</v>
      </c>
      <c r="FY91" s="166">
        <v>885.04444444444448</v>
      </c>
      <c r="FZ91" s="165">
        <v>3</v>
      </c>
      <c r="GA91" s="165">
        <v>165</v>
      </c>
      <c r="GB91" s="165">
        <v>168</v>
      </c>
      <c r="GC91" s="165">
        <v>140</v>
      </c>
      <c r="GD91" s="165">
        <v>116</v>
      </c>
      <c r="GE91" s="165">
        <v>132</v>
      </c>
      <c r="GF91" s="165">
        <v>116</v>
      </c>
      <c r="GG91" s="165">
        <v>99</v>
      </c>
      <c r="GH91" s="165">
        <v>104</v>
      </c>
      <c r="GI91" s="165">
        <v>0</v>
      </c>
      <c r="GJ91" s="165">
        <v>0</v>
      </c>
      <c r="GK91" s="165">
        <v>0</v>
      </c>
      <c r="GL91" s="165">
        <v>0</v>
      </c>
      <c r="GM91" s="165">
        <v>0</v>
      </c>
      <c r="GN91" s="165">
        <v>0</v>
      </c>
      <c r="GO91" s="165">
        <v>707</v>
      </c>
      <c r="GP91" s="165">
        <v>0</v>
      </c>
      <c r="GQ91" s="165">
        <v>0</v>
      </c>
      <c r="GR91" s="165">
        <v>875</v>
      </c>
      <c r="GS91" s="165">
        <v>707</v>
      </c>
      <c r="GT91" s="165">
        <v>875</v>
      </c>
      <c r="GU91" s="165">
        <v>0</v>
      </c>
      <c r="GV91" s="165">
        <v>290</v>
      </c>
      <c r="GW91" s="165">
        <v>117</v>
      </c>
      <c r="GX91" s="165">
        <v>13</v>
      </c>
      <c r="GY91" s="165">
        <v>130</v>
      </c>
      <c r="GZ91" s="165">
        <v>888</v>
      </c>
      <c r="HA91" s="165">
        <v>71</v>
      </c>
      <c r="HB91" s="166">
        <v>58.38</v>
      </c>
      <c r="HC91" s="166">
        <v>54.63</v>
      </c>
      <c r="HD91" s="166">
        <v>47</v>
      </c>
      <c r="HE91" s="166">
        <v>0</v>
      </c>
      <c r="HF91" s="166"/>
      <c r="HG91" s="166">
        <v>59.13</v>
      </c>
      <c r="HH91" s="166">
        <v>0</v>
      </c>
      <c r="HI91" s="166">
        <v>131</v>
      </c>
      <c r="HJ91" s="166">
        <v>131</v>
      </c>
      <c r="HK91" s="166">
        <v>121</v>
      </c>
      <c r="HL91" s="166">
        <v>10</v>
      </c>
      <c r="HM91" s="166">
        <v>28</v>
      </c>
      <c r="HN91" s="166">
        <v>164</v>
      </c>
      <c r="HO91" s="166">
        <v>743</v>
      </c>
      <c r="HP91" s="166">
        <v>743</v>
      </c>
      <c r="HQ91" s="166">
        <v>0</v>
      </c>
      <c r="HR91" s="166">
        <v>0</v>
      </c>
      <c r="HS91" s="166">
        <v>907</v>
      </c>
      <c r="HT91" s="166">
        <f>FY26_FE_Data_April15[[#This Row],[Oct 1, 2026 (CDC) - K]]+FY26_FE_Data_April15[[#This Row],[Oct 1, 2026 (CDC) - Grades 1-6]]+FY26_FE_Data_April15[[#This Row],[Oct 1, 2026 (CDC) - Grades 7-8]]</f>
        <v>907</v>
      </c>
      <c r="HU91" s="166">
        <v>0</v>
      </c>
      <c r="HW91" s="170"/>
      <c r="HY91" s="170"/>
    </row>
    <row r="92" spans="1:233" ht="39">
      <c r="A92" s="158" t="s">
        <v>488</v>
      </c>
      <c r="B92" s="159" t="s">
        <v>489</v>
      </c>
      <c r="C92" s="160" t="s">
        <v>490</v>
      </c>
      <c r="D92" s="160" t="s">
        <v>139</v>
      </c>
      <c r="E92" s="159" t="s">
        <v>784</v>
      </c>
      <c r="F92" s="159" t="s">
        <v>784</v>
      </c>
      <c r="G92" s="159"/>
      <c r="H92" s="161">
        <v>49.31666666666667</v>
      </c>
      <c r="I92" s="161">
        <v>5.0611111111111109</v>
      </c>
      <c r="J92" s="161">
        <v>54.37777777777778</v>
      </c>
      <c r="K92" s="162">
        <v>46</v>
      </c>
      <c r="L92" s="162">
        <v>170</v>
      </c>
      <c r="M92" s="162">
        <v>11</v>
      </c>
      <c r="N92" s="162">
        <v>0</v>
      </c>
      <c r="O92" s="162">
        <v>227</v>
      </c>
      <c r="P92" s="162">
        <v>181</v>
      </c>
      <c r="Q92" s="162">
        <v>227</v>
      </c>
      <c r="R92" s="162">
        <v>4</v>
      </c>
      <c r="S92" s="160">
        <v>45.305555555555557</v>
      </c>
      <c r="T92" s="160">
        <v>37.427777777777777</v>
      </c>
      <c r="U92" s="160">
        <v>35.755555555555553</v>
      </c>
      <c r="V92" s="160">
        <v>26.516666666666666</v>
      </c>
      <c r="W92" s="160">
        <v>24.905555555555555</v>
      </c>
      <c r="X92" s="160">
        <v>22.577777777777779</v>
      </c>
      <c r="Y92" s="160">
        <v>18.844444444444445</v>
      </c>
      <c r="Z92" s="160">
        <v>10.883333333333333</v>
      </c>
      <c r="AA92" s="160">
        <v>0</v>
      </c>
      <c r="AB92" s="160">
        <v>0</v>
      </c>
      <c r="AC92" s="160">
        <v>0</v>
      </c>
      <c r="AD92" s="160">
        <v>0</v>
      </c>
      <c r="AE92" s="160">
        <v>0</v>
      </c>
      <c r="AF92" s="160">
        <v>166.02777777777777</v>
      </c>
      <c r="AG92" s="160">
        <v>10.883333333333333</v>
      </c>
      <c r="AH92" s="160">
        <v>0</v>
      </c>
      <c r="AI92" s="160">
        <v>222.21666666666664</v>
      </c>
      <c r="AJ92" s="160">
        <v>176.9111111111111</v>
      </c>
      <c r="AK92" s="160">
        <v>222.21666666666664</v>
      </c>
      <c r="AL92" s="161">
        <v>47.1</v>
      </c>
      <c r="AM92" s="161">
        <v>4</v>
      </c>
      <c r="AN92" s="161">
        <v>51.1</v>
      </c>
      <c r="AO92" s="161">
        <v>226.21666666666664</v>
      </c>
      <c r="AP92" s="162">
        <v>41</v>
      </c>
      <c r="AQ92" s="168">
        <v>38</v>
      </c>
      <c r="AR92" s="160">
        <v>38</v>
      </c>
      <c r="AS92" s="160">
        <v>35</v>
      </c>
      <c r="AT92" s="160">
        <v>23</v>
      </c>
      <c r="AU92" s="160">
        <v>21</v>
      </c>
      <c r="AV92" s="160">
        <v>19</v>
      </c>
      <c r="AW92" s="160">
        <v>17</v>
      </c>
      <c r="AX92" s="160">
        <v>0</v>
      </c>
      <c r="AY92" s="160">
        <v>0</v>
      </c>
      <c r="AZ92" s="160">
        <v>0</v>
      </c>
      <c r="BA92" s="160">
        <v>0</v>
      </c>
      <c r="BB92" s="160">
        <v>0</v>
      </c>
      <c r="BC92" s="160">
        <v>174</v>
      </c>
      <c r="BD92" s="160">
        <v>17</v>
      </c>
      <c r="BE92" s="160">
        <v>0</v>
      </c>
      <c r="BF92" s="160">
        <v>232</v>
      </c>
      <c r="BG92" s="160">
        <v>191</v>
      </c>
      <c r="BH92" s="160">
        <v>232</v>
      </c>
      <c r="BI92" s="160">
        <v>41</v>
      </c>
      <c r="BJ92" s="160">
        <v>0</v>
      </c>
      <c r="BK92" s="160">
        <v>0</v>
      </c>
      <c r="BL92" s="160">
        <v>129</v>
      </c>
      <c r="BM92" s="160">
        <v>45</v>
      </c>
      <c r="BN92" s="162">
        <v>4</v>
      </c>
      <c r="BO92" s="162">
        <v>49</v>
      </c>
      <c r="BP92" s="162">
        <v>10</v>
      </c>
      <c r="BQ92" s="163">
        <v>5.6730769230769251E-2</v>
      </c>
      <c r="BR92" s="164">
        <v>14.935</v>
      </c>
      <c r="BS92" s="164">
        <v>13.935</v>
      </c>
      <c r="BT92" s="164">
        <v>13.935</v>
      </c>
      <c r="BU92" s="164">
        <v>14.935</v>
      </c>
      <c r="BV92" s="165">
        <v>0</v>
      </c>
      <c r="BW92" s="165">
        <v>0</v>
      </c>
      <c r="BX92" s="166">
        <v>0</v>
      </c>
      <c r="BY92" s="166">
        <v>0</v>
      </c>
      <c r="BZ92" s="166">
        <v>38.772221999999999</v>
      </c>
      <c r="CA92" s="166">
        <v>38.772222222222226</v>
      </c>
      <c r="CB92" s="166">
        <v>34.161111111111111</v>
      </c>
      <c r="CC92" s="166">
        <v>32.783333333333331</v>
      </c>
      <c r="CD92" s="166">
        <v>30.394444444444446</v>
      </c>
      <c r="CE92" s="166">
        <v>21.283333333333335</v>
      </c>
      <c r="CF92" s="166">
        <v>17.75</v>
      </c>
      <c r="CG92" s="166">
        <v>18.433333333333334</v>
      </c>
      <c r="CH92" s="166">
        <v>17.31111111111111</v>
      </c>
      <c r="CI92" s="166">
        <v>0</v>
      </c>
      <c r="CJ92" s="166">
        <v>0</v>
      </c>
      <c r="CK92" s="166">
        <v>0</v>
      </c>
      <c r="CL92" s="166">
        <v>0</v>
      </c>
      <c r="CM92" s="166">
        <v>0</v>
      </c>
      <c r="CN92" s="166">
        <v>154.80555555555554</v>
      </c>
      <c r="CO92" s="166">
        <v>17.31111111111111</v>
      </c>
      <c r="CP92" s="166">
        <v>0</v>
      </c>
      <c r="CQ92" s="166">
        <v>210.88888888888889</v>
      </c>
      <c r="CR92" s="166">
        <v>172.11666666666665</v>
      </c>
      <c r="CS92" s="166">
        <v>210.88888888888889</v>
      </c>
      <c r="CT92" s="166">
        <v>48.4444444444444</v>
      </c>
      <c r="CU92" s="166">
        <v>4.8333333333333304</v>
      </c>
      <c r="CV92" s="166">
        <v>53.277777777777729</v>
      </c>
      <c r="CW92" s="166">
        <v>215.72222222222223</v>
      </c>
      <c r="CX92" s="166">
        <v>0</v>
      </c>
      <c r="CY92" s="166">
        <v>47</v>
      </c>
      <c r="CZ92" s="165">
        <v>0</v>
      </c>
      <c r="DA92" s="165">
        <v>47</v>
      </c>
      <c r="DB92" s="165">
        <v>31</v>
      </c>
      <c r="DC92" s="165">
        <v>34</v>
      </c>
      <c r="DD92" s="165">
        <v>31</v>
      </c>
      <c r="DE92" s="165">
        <v>22</v>
      </c>
      <c r="DF92" s="165">
        <v>17</v>
      </c>
      <c r="DG92" s="165">
        <v>15</v>
      </c>
      <c r="DH92" s="165">
        <v>13</v>
      </c>
      <c r="DI92" s="165">
        <v>0</v>
      </c>
      <c r="DJ92" s="165">
        <v>0</v>
      </c>
      <c r="DK92" s="165">
        <v>0</v>
      </c>
      <c r="DL92" s="165">
        <v>0</v>
      </c>
      <c r="DM92" s="165">
        <v>0</v>
      </c>
      <c r="DN92" s="165">
        <v>150</v>
      </c>
      <c r="DO92" s="165">
        <v>13</v>
      </c>
      <c r="DP92" s="165">
        <v>0</v>
      </c>
      <c r="DQ92" s="165">
        <v>210</v>
      </c>
      <c r="DR92" s="165">
        <v>163</v>
      </c>
      <c r="DS92" s="165">
        <v>210</v>
      </c>
      <c r="DT92" s="165">
        <v>0</v>
      </c>
      <c r="DU92" s="165">
        <v>99</v>
      </c>
      <c r="DV92" s="165">
        <v>41</v>
      </c>
      <c r="DW92" s="165">
        <v>5</v>
      </c>
      <c r="DX92" s="165">
        <v>46</v>
      </c>
      <c r="DY92" s="165">
        <v>215</v>
      </c>
      <c r="DZ92" s="165">
        <v>6</v>
      </c>
      <c r="EA92" s="166">
        <v>15</v>
      </c>
      <c r="EB92" s="166">
        <v>15</v>
      </c>
      <c r="EC92" s="166">
        <v>13</v>
      </c>
      <c r="ED92" s="166">
        <v>1</v>
      </c>
      <c r="EE92" s="166">
        <v>0</v>
      </c>
      <c r="EF92" s="166">
        <v>17.100000000000001</v>
      </c>
      <c r="EG92" s="167">
        <v>5.7954545454545481E-2</v>
      </c>
      <c r="EH92" s="165"/>
      <c r="EI92" s="165">
        <v>41</v>
      </c>
      <c r="EJ92" s="165">
        <v>169</v>
      </c>
      <c r="EK92" s="165">
        <v>159</v>
      </c>
      <c r="EL92" s="165">
        <v>10</v>
      </c>
      <c r="EM92" s="165">
        <v>0</v>
      </c>
      <c r="EN92" s="165">
        <v>210</v>
      </c>
      <c r="EO92" s="165">
        <v>0</v>
      </c>
      <c r="EP92" s="165">
        <v>50</v>
      </c>
      <c r="EQ92" s="165">
        <v>50</v>
      </c>
      <c r="ER92" s="165">
        <v>45</v>
      </c>
      <c r="ES92" s="165">
        <v>5</v>
      </c>
      <c r="ET92" s="165">
        <v>0</v>
      </c>
      <c r="EU92" s="166">
        <v>15.32</v>
      </c>
      <c r="EV92" s="166">
        <v>1</v>
      </c>
      <c r="EW92" s="166">
        <v>1</v>
      </c>
      <c r="EX92" s="166">
        <v>0</v>
      </c>
      <c r="EY92" s="166">
        <v>3</v>
      </c>
      <c r="EZ92" s="166">
        <v>20.32</v>
      </c>
      <c r="FA92" s="166">
        <v>0</v>
      </c>
      <c r="FB92" s="166">
        <v>47.416666666666664</v>
      </c>
      <c r="FC92" s="166">
        <v>47.416666666666664</v>
      </c>
      <c r="FD92" s="166">
        <v>30.227777777777778</v>
      </c>
      <c r="FE92" s="166">
        <v>33.68888888888889</v>
      </c>
      <c r="FF92" s="166">
        <v>29.094444444444445</v>
      </c>
      <c r="FG92" s="166">
        <v>21.761111111111113</v>
      </c>
      <c r="FH92" s="166">
        <v>16.205555555555556</v>
      </c>
      <c r="FI92" s="166">
        <v>13.366666666666667</v>
      </c>
      <c r="FJ92" s="166">
        <v>12.638888888888889</v>
      </c>
      <c r="FK92" s="166">
        <v>0</v>
      </c>
      <c r="FL92" s="166">
        <v>0</v>
      </c>
      <c r="FM92" s="166">
        <v>0</v>
      </c>
      <c r="FN92" s="166">
        <v>0</v>
      </c>
      <c r="FO92" s="166">
        <v>0</v>
      </c>
      <c r="FP92" s="166">
        <v>144.34444444444446</v>
      </c>
      <c r="FQ92" s="166">
        <v>12.638888888888889</v>
      </c>
      <c r="FR92" s="166">
        <v>0</v>
      </c>
      <c r="FS92" s="166">
        <v>204.4</v>
      </c>
      <c r="FT92" s="166">
        <v>156.98333333333335</v>
      </c>
      <c r="FU92" s="166">
        <v>204.4</v>
      </c>
      <c r="FV92" s="166">
        <v>45.111111111111114</v>
      </c>
      <c r="FW92" s="166">
        <v>4.9833333333333334</v>
      </c>
      <c r="FX92" s="166">
        <v>50.094444444444449</v>
      </c>
      <c r="FY92" s="166">
        <v>209.38333333333333</v>
      </c>
      <c r="FZ92" s="165">
        <v>5</v>
      </c>
      <c r="GA92" s="165">
        <v>42</v>
      </c>
      <c r="GB92" s="165">
        <v>47</v>
      </c>
      <c r="GC92" s="165">
        <v>36</v>
      </c>
      <c r="GD92" s="165">
        <v>30</v>
      </c>
      <c r="GE92" s="165">
        <v>37</v>
      </c>
      <c r="GF92" s="165">
        <v>29</v>
      </c>
      <c r="GG92" s="165">
        <v>23</v>
      </c>
      <c r="GH92" s="165">
        <v>19</v>
      </c>
      <c r="GI92" s="165">
        <v>14</v>
      </c>
      <c r="GJ92" s="165">
        <v>0</v>
      </c>
      <c r="GK92" s="165">
        <v>0</v>
      </c>
      <c r="GL92" s="165">
        <v>0</v>
      </c>
      <c r="GM92" s="165">
        <v>0</v>
      </c>
      <c r="GN92" s="165">
        <v>0</v>
      </c>
      <c r="GO92" s="165">
        <v>174</v>
      </c>
      <c r="GP92" s="165">
        <v>14</v>
      </c>
      <c r="GQ92" s="165">
        <v>0</v>
      </c>
      <c r="GR92" s="165">
        <v>235</v>
      </c>
      <c r="GS92" s="165">
        <v>188</v>
      </c>
      <c r="GT92" s="165">
        <v>235</v>
      </c>
      <c r="GU92" s="165">
        <v>0</v>
      </c>
      <c r="GV92" s="165">
        <v>103</v>
      </c>
      <c r="GW92" s="165">
        <v>44</v>
      </c>
      <c r="GX92" s="165">
        <v>3</v>
      </c>
      <c r="GY92" s="165">
        <v>47</v>
      </c>
      <c r="GZ92" s="165">
        <v>238</v>
      </c>
      <c r="HA92" s="165">
        <v>4</v>
      </c>
      <c r="HB92" s="166">
        <v>12</v>
      </c>
      <c r="HC92" s="166">
        <v>12</v>
      </c>
      <c r="HD92" s="166">
        <v>10</v>
      </c>
      <c r="HE92" s="166">
        <v>1</v>
      </c>
      <c r="HF92" s="166"/>
      <c r="HG92" s="166">
        <v>12.5</v>
      </c>
      <c r="HH92" s="166">
        <v>0</v>
      </c>
      <c r="HI92" s="166">
        <v>48</v>
      </c>
      <c r="HJ92" s="166">
        <v>48</v>
      </c>
      <c r="HK92" s="166">
        <v>44</v>
      </c>
      <c r="HL92" s="166">
        <v>4</v>
      </c>
      <c r="HM92" s="166">
        <v>0</v>
      </c>
      <c r="HN92" s="166">
        <v>47</v>
      </c>
      <c r="HO92" s="166">
        <v>188</v>
      </c>
      <c r="HP92" s="166">
        <v>174</v>
      </c>
      <c r="HQ92" s="166">
        <v>14</v>
      </c>
      <c r="HR92" s="166">
        <v>0</v>
      </c>
      <c r="HS92" s="166">
        <v>235</v>
      </c>
      <c r="HT92" s="166">
        <f>FY26_FE_Data_April15[[#This Row],[Oct 1, 2026 (CDC) - K]]+FY26_FE_Data_April15[[#This Row],[Oct 1, 2026 (CDC) - Grades 1-6]]+FY26_FE_Data_April15[[#This Row],[Oct 1, 2026 (CDC) - Grades 7-8]]</f>
        <v>235</v>
      </c>
      <c r="HU92" s="166">
        <v>0</v>
      </c>
      <c r="HW92" s="170"/>
      <c r="HY92" s="170"/>
    </row>
    <row r="93" spans="1:233" ht="26">
      <c r="A93" s="158" t="s">
        <v>491</v>
      </c>
      <c r="B93" s="159" t="s">
        <v>492</v>
      </c>
      <c r="C93" s="160" t="s">
        <v>493</v>
      </c>
      <c r="D93" s="160" t="s">
        <v>139</v>
      </c>
      <c r="E93" s="159" t="s">
        <v>784</v>
      </c>
      <c r="F93" s="159" t="s">
        <v>784</v>
      </c>
      <c r="G93" s="159"/>
      <c r="H93" s="161">
        <v>60.866666666666667</v>
      </c>
      <c r="I93" s="161">
        <v>0.97777777777777775</v>
      </c>
      <c r="J93" s="161">
        <v>61.844444444444441</v>
      </c>
      <c r="K93" s="162">
        <v>0</v>
      </c>
      <c r="L93" s="162">
        <v>0</v>
      </c>
      <c r="M93" s="162">
        <v>0</v>
      </c>
      <c r="N93" s="162">
        <v>214</v>
      </c>
      <c r="O93" s="162">
        <v>214</v>
      </c>
      <c r="P93" s="162">
        <v>214</v>
      </c>
      <c r="Q93" s="162">
        <v>0</v>
      </c>
      <c r="R93" s="162">
        <v>1</v>
      </c>
      <c r="S93" s="160">
        <v>0</v>
      </c>
      <c r="T93" s="160">
        <v>0</v>
      </c>
      <c r="U93" s="160">
        <v>0</v>
      </c>
      <c r="V93" s="160">
        <v>0</v>
      </c>
      <c r="W93" s="160">
        <v>0</v>
      </c>
      <c r="X93" s="160">
        <v>0</v>
      </c>
      <c r="Y93" s="160">
        <v>0</v>
      </c>
      <c r="Z93" s="160">
        <v>0</v>
      </c>
      <c r="AA93" s="160">
        <v>0</v>
      </c>
      <c r="AB93" s="160">
        <v>38.405555555555559</v>
      </c>
      <c r="AC93" s="160">
        <v>55.761111111111113</v>
      </c>
      <c r="AD93" s="160">
        <v>49.966666666666669</v>
      </c>
      <c r="AE93" s="160">
        <v>58.427777777777777</v>
      </c>
      <c r="AF93" s="160">
        <v>0</v>
      </c>
      <c r="AG93" s="160">
        <v>0</v>
      </c>
      <c r="AH93" s="160">
        <v>202.5611111111111</v>
      </c>
      <c r="AI93" s="160">
        <v>0</v>
      </c>
      <c r="AJ93" s="160">
        <v>202.5611111111111</v>
      </c>
      <c r="AK93" s="160">
        <v>202.5611111111111</v>
      </c>
      <c r="AL93" s="161">
        <v>62.016666666666666</v>
      </c>
      <c r="AM93" s="161">
        <v>0</v>
      </c>
      <c r="AN93" s="161">
        <v>62.016666666666666</v>
      </c>
      <c r="AO93" s="161">
        <v>202.5611111111111</v>
      </c>
      <c r="AP93" s="162">
        <v>0</v>
      </c>
      <c r="AQ93" s="168">
        <v>0</v>
      </c>
      <c r="AR93" s="160">
        <v>0</v>
      </c>
      <c r="AS93" s="160">
        <v>0</v>
      </c>
      <c r="AT93" s="160">
        <v>0</v>
      </c>
      <c r="AU93" s="160">
        <v>0</v>
      </c>
      <c r="AV93" s="160">
        <v>0</v>
      </c>
      <c r="AW93" s="160">
        <v>0</v>
      </c>
      <c r="AX93" s="160">
        <v>0</v>
      </c>
      <c r="AY93" s="160">
        <v>36</v>
      </c>
      <c r="AZ93" s="160">
        <v>59</v>
      </c>
      <c r="BA93" s="160">
        <v>69</v>
      </c>
      <c r="BB93" s="160">
        <v>51</v>
      </c>
      <c r="BC93" s="160">
        <v>0</v>
      </c>
      <c r="BD93" s="160">
        <v>0</v>
      </c>
      <c r="BE93" s="160">
        <v>215</v>
      </c>
      <c r="BF93" s="160">
        <v>0</v>
      </c>
      <c r="BG93" s="160">
        <v>215</v>
      </c>
      <c r="BH93" s="160">
        <v>215</v>
      </c>
      <c r="BI93" s="160">
        <v>0</v>
      </c>
      <c r="BJ93" s="160">
        <v>0</v>
      </c>
      <c r="BK93" s="160">
        <v>0</v>
      </c>
      <c r="BL93" s="160">
        <v>137</v>
      </c>
      <c r="BM93" s="160">
        <v>66</v>
      </c>
      <c r="BN93" s="162">
        <v>0</v>
      </c>
      <c r="BO93" s="162">
        <v>66</v>
      </c>
      <c r="BP93" s="162">
        <v>17</v>
      </c>
      <c r="BQ93" s="163">
        <v>5.2469358327325133E-2</v>
      </c>
      <c r="BR93" s="164">
        <v>12.3</v>
      </c>
      <c r="BS93" s="164">
        <v>12.3</v>
      </c>
      <c r="BT93" s="164">
        <v>12.3</v>
      </c>
      <c r="BU93" s="164">
        <v>14.3</v>
      </c>
      <c r="BV93" s="165">
        <v>0</v>
      </c>
      <c r="BW93" s="165">
        <v>0</v>
      </c>
      <c r="BX93" s="166">
        <v>0</v>
      </c>
      <c r="BY93" s="166">
        <v>0</v>
      </c>
      <c r="BZ93" s="166">
        <v>0</v>
      </c>
      <c r="CA93" s="166">
        <v>0</v>
      </c>
      <c r="CB93" s="166">
        <v>0</v>
      </c>
      <c r="CC93" s="166">
        <v>0</v>
      </c>
      <c r="CD93" s="166">
        <v>0</v>
      </c>
      <c r="CE93" s="166">
        <v>0</v>
      </c>
      <c r="CF93" s="166">
        <v>0</v>
      </c>
      <c r="CG93" s="166">
        <v>0</v>
      </c>
      <c r="CH93" s="166">
        <v>0</v>
      </c>
      <c r="CI93" s="166">
        <v>0</v>
      </c>
      <c r="CJ93" s="166">
        <v>36.116666666666667</v>
      </c>
      <c r="CK93" s="166">
        <v>56.555555555555557</v>
      </c>
      <c r="CL93" s="166">
        <v>65.838888888888889</v>
      </c>
      <c r="CM93" s="166">
        <v>48.005555555555553</v>
      </c>
      <c r="CN93" s="166">
        <v>0</v>
      </c>
      <c r="CO93" s="166">
        <v>0</v>
      </c>
      <c r="CP93" s="166">
        <v>206.51666666666668</v>
      </c>
      <c r="CQ93" s="166">
        <v>0</v>
      </c>
      <c r="CR93" s="166">
        <v>206.51666666666668</v>
      </c>
      <c r="CS93" s="166">
        <v>206.51666666666668</v>
      </c>
      <c r="CT93" s="166">
        <v>58.95</v>
      </c>
      <c r="CU93" s="166">
        <v>0</v>
      </c>
      <c r="CV93" s="166">
        <v>58.95</v>
      </c>
      <c r="CW93" s="166">
        <v>206.51666666666668</v>
      </c>
      <c r="CX93" s="166">
        <v>0</v>
      </c>
      <c r="CY93" s="166">
        <v>0</v>
      </c>
      <c r="CZ93" s="165">
        <v>0</v>
      </c>
      <c r="DA93" s="165">
        <v>0</v>
      </c>
      <c r="DB93" s="165">
        <v>0</v>
      </c>
      <c r="DC93" s="165">
        <v>0</v>
      </c>
      <c r="DD93" s="165">
        <v>0</v>
      </c>
      <c r="DE93" s="165">
        <v>0</v>
      </c>
      <c r="DF93" s="165">
        <v>0</v>
      </c>
      <c r="DG93" s="165">
        <v>0</v>
      </c>
      <c r="DH93" s="165">
        <v>0</v>
      </c>
      <c r="DI93" s="165">
        <v>0</v>
      </c>
      <c r="DJ93" s="165">
        <v>34</v>
      </c>
      <c r="DK93" s="165">
        <v>63</v>
      </c>
      <c r="DL93" s="165">
        <v>67</v>
      </c>
      <c r="DM93" s="165">
        <v>60</v>
      </c>
      <c r="DN93" s="165">
        <v>0</v>
      </c>
      <c r="DO93" s="165">
        <v>0</v>
      </c>
      <c r="DP93" s="165">
        <v>224</v>
      </c>
      <c r="DQ93" s="165">
        <v>0</v>
      </c>
      <c r="DR93" s="165">
        <v>224</v>
      </c>
      <c r="DS93" s="165">
        <v>224</v>
      </c>
      <c r="DT93" s="165">
        <v>0</v>
      </c>
      <c r="DU93" s="165">
        <v>140</v>
      </c>
      <c r="DV93" s="165">
        <v>54</v>
      </c>
      <c r="DW93" s="165">
        <v>0</v>
      </c>
      <c r="DX93" s="165">
        <v>54</v>
      </c>
      <c r="DY93" s="165">
        <v>224</v>
      </c>
      <c r="DZ93" s="165">
        <v>43</v>
      </c>
      <c r="EA93" s="166">
        <v>13</v>
      </c>
      <c r="EB93" s="166">
        <v>13</v>
      </c>
      <c r="EC93" s="166">
        <v>0</v>
      </c>
      <c r="ED93" s="166">
        <v>10.83</v>
      </c>
      <c r="EE93" s="166">
        <v>0</v>
      </c>
      <c r="EF93" s="166">
        <v>16.5</v>
      </c>
      <c r="EG93" s="167">
        <v>6.6513761467889898E-2</v>
      </c>
      <c r="EH93" s="165"/>
      <c r="EI93" s="165">
        <v>0</v>
      </c>
      <c r="EJ93" s="165">
        <v>223</v>
      </c>
      <c r="EK93" s="165">
        <v>0</v>
      </c>
      <c r="EL93" s="165">
        <v>0</v>
      </c>
      <c r="EM93" s="165">
        <v>223</v>
      </c>
      <c r="EN93" s="165">
        <v>223</v>
      </c>
      <c r="EO93" s="165">
        <v>0</v>
      </c>
      <c r="EP93" s="165">
        <v>61</v>
      </c>
      <c r="EQ93" s="165">
        <v>61</v>
      </c>
      <c r="ER93" s="165">
        <v>61</v>
      </c>
      <c r="ES93" s="165">
        <v>0</v>
      </c>
      <c r="ET93" s="165">
        <v>0</v>
      </c>
      <c r="EU93" s="166">
        <v>14.3</v>
      </c>
      <c r="EV93" s="166">
        <v>0</v>
      </c>
      <c r="EW93" s="166">
        <v>2.52</v>
      </c>
      <c r="EX93" s="166">
        <v>1</v>
      </c>
      <c r="EY93" s="166">
        <v>0.76</v>
      </c>
      <c r="EZ93" s="166">
        <v>18.580000000000002</v>
      </c>
      <c r="FA93" s="166">
        <v>0</v>
      </c>
      <c r="FB93" s="166">
        <v>0</v>
      </c>
      <c r="FC93" s="166">
        <v>0</v>
      </c>
      <c r="FD93" s="166">
        <v>0</v>
      </c>
      <c r="FE93" s="166">
        <v>0</v>
      </c>
      <c r="FF93" s="166">
        <v>0</v>
      </c>
      <c r="FG93" s="166">
        <v>0</v>
      </c>
      <c r="FH93" s="166">
        <v>0</v>
      </c>
      <c r="FI93" s="166">
        <v>0</v>
      </c>
      <c r="FJ93" s="166">
        <v>0</v>
      </c>
      <c r="FK93" s="166">
        <v>0</v>
      </c>
      <c r="FL93" s="166">
        <v>34.861111111111114</v>
      </c>
      <c r="FM93" s="166">
        <v>59.633333333333333</v>
      </c>
      <c r="FN93" s="166">
        <v>65.55</v>
      </c>
      <c r="FO93" s="166">
        <v>58.81666666666667</v>
      </c>
      <c r="FP93" s="166">
        <v>0</v>
      </c>
      <c r="FQ93" s="166">
        <v>0</v>
      </c>
      <c r="FR93" s="166">
        <v>218.86111111111109</v>
      </c>
      <c r="FS93" s="166">
        <v>0</v>
      </c>
      <c r="FT93" s="166">
        <v>218.86111111111109</v>
      </c>
      <c r="FU93" s="166">
        <v>218.86111111111109</v>
      </c>
      <c r="FV93" s="166">
        <v>59.111111111111114</v>
      </c>
      <c r="FW93" s="166">
        <v>0</v>
      </c>
      <c r="FX93" s="166">
        <v>59.111111111111114</v>
      </c>
      <c r="FY93" s="166">
        <v>218.86111111111109</v>
      </c>
      <c r="FZ93" s="165">
        <v>0</v>
      </c>
      <c r="GA93" s="165">
        <v>0</v>
      </c>
      <c r="GB93" s="165">
        <v>0</v>
      </c>
      <c r="GC93" s="165">
        <v>0</v>
      </c>
      <c r="GD93" s="165">
        <v>0</v>
      </c>
      <c r="GE93" s="165">
        <v>0</v>
      </c>
      <c r="GF93" s="165">
        <v>0</v>
      </c>
      <c r="GG93" s="165">
        <v>0</v>
      </c>
      <c r="GH93" s="165">
        <v>0</v>
      </c>
      <c r="GI93" s="165">
        <v>0</v>
      </c>
      <c r="GJ93" s="165">
        <v>0</v>
      </c>
      <c r="GK93" s="165">
        <v>35</v>
      </c>
      <c r="GL93" s="165">
        <v>61</v>
      </c>
      <c r="GM93" s="165">
        <v>77</v>
      </c>
      <c r="GN93" s="165">
        <v>77</v>
      </c>
      <c r="GO93" s="165">
        <v>0</v>
      </c>
      <c r="GP93" s="165">
        <v>0</v>
      </c>
      <c r="GQ93" s="165">
        <v>250</v>
      </c>
      <c r="GR93" s="165">
        <v>0</v>
      </c>
      <c r="GS93" s="165">
        <v>250</v>
      </c>
      <c r="GT93" s="165">
        <v>250</v>
      </c>
      <c r="GU93" s="165">
        <v>0</v>
      </c>
      <c r="GV93" s="165">
        <v>172</v>
      </c>
      <c r="GW93" s="165">
        <v>68</v>
      </c>
      <c r="GX93" s="165">
        <v>0</v>
      </c>
      <c r="GY93" s="165">
        <v>68</v>
      </c>
      <c r="GZ93" s="165">
        <v>250</v>
      </c>
      <c r="HA93" s="165">
        <v>37</v>
      </c>
      <c r="HB93" s="166">
        <v>12.5</v>
      </c>
      <c r="HC93" s="166">
        <v>12.5</v>
      </c>
      <c r="HD93" s="166">
        <v>0</v>
      </c>
      <c r="HE93" s="166">
        <v>10.71</v>
      </c>
      <c r="HF93" s="166"/>
      <c r="HG93" s="166">
        <v>17</v>
      </c>
      <c r="HH93" s="166">
        <v>0</v>
      </c>
      <c r="HI93" s="166">
        <v>59</v>
      </c>
      <c r="HJ93" s="166">
        <v>59</v>
      </c>
      <c r="HK93" s="166">
        <v>59</v>
      </c>
      <c r="HL93" s="166">
        <v>0</v>
      </c>
      <c r="HM93" s="166">
        <v>0</v>
      </c>
      <c r="HN93" s="166">
        <v>0</v>
      </c>
      <c r="HO93" s="166">
        <v>250</v>
      </c>
      <c r="HP93" s="166">
        <v>0</v>
      </c>
      <c r="HQ93" s="166">
        <v>0</v>
      </c>
      <c r="HR93" s="166">
        <v>250</v>
      </c>
      <c r="HS93" s="166">
        <v>250</v>
      </c>
      <c r="HT93" s="166">
        <f>FY26_FE_Data_April15[[#This Row],[Oct 1, 2026 (CDC) - K]]+FY26_FE_Data_April15[[#This Row],[Oct 1, 2026 (CDC) - Grades 1-6]]+FY26_FE_Data_April15[[#This Row],[Oct 1, 2026 (CDC) - Grades 7-8]]</f>
        <v>0</v>
      </c>
      <c r="HU93" s="166">
        <v>0</v>
      </c>
      <c r="HW93" s="170"/>
      <c r="HY93" s="170"/>
    </row>
    <row r="94" spans="1:233" ht="39">
      <c r="A94" s="158" t="s">
        <v>494</v>
      </c>
      <c r="B94" s="159" t="s">
        <v>495</v>
      </c>
      <c r="C94" s="160" t="s">
        <v>496</v>
      </c>
      <c r="D94" s="160" t="s">
        <v>139</v>
      </c>
      <c r="E94" s="159" t="s">
        <v>784</v>
      </c>
      <c r="F94" s="159" t="s">
        <v>784</v>
      </c>
      <c r="G94" s="159"/>
      <c r="H94" s="161">
        <v>30.06111111111111</v>
      </c>
      <c r="I94" s="161">
        <v>1</v>
      </c>
      <c r="J94" s="161">
        <v>31.06111111111111</v>
      </c>
      <c r="K94" s="162">
        <v>0</v>
      </c>
      <c r="L94" s="162">
        <v>30</v>
      </c>
      <c r="M94" s="162">
        <v>131</v>
      </c>
      <c r="N94" s="162">
        <v>310</v>
      </c>
      <c r="O94" s="162">
        <v>471</v>
      </c>
      <c r="P94" s="162">
        <v>471</v>
      </c>
      <c r="Q94" s="162">
        <v>161</v>
      </c>
      <c r="R94" s="162">
        <v>1</v>
      </c>
      <c r="S94" s="160">
        <v>0</v>
      </c>
      <c r="T94" s="160">
        <v>0</v>
      </c>
      <c r="U94" s="160">
        <v>0</v>
      </c>
      <c r="V94" s="160">
        <v>0</v>
      </c>
      <c r="W94" s="160">
        <v>0</v>
      </c>
      <c r="X94" s="160">
        <v>0</v>
      </c>
      <c r="Y94" s="160">
        <v>31.105555555555554</v>
      </c>
      <c r="Z94" s="160">
        <v>61.411111111111111</v>
      </c>
      <c r="AA94" s="160">
        <v>62.283333333333331</v>
      </c>
      <c r="AB94" s="160">
        <v>74.688888888888883</v>
      </c>
      <c r="AC94" s="160">
        <v>74.033333333333331</v>
      </c>
      <c r="AD94" s="160">
        <v>90.2</v>
      </c>
      <c r="AE94" s="160">
        <v>53.294444444444444</v>
      </c>
      <c r="AF94" s="160">
        <v>31.105555555555554</v>
      </c>
      <c r="AG94" s="160">
        <v>123.69444444444444</v>
      </c>
      <c r="AH94" s="160">
        <v>292.21666666666664</v>
      </c>
      <c r="AI94" s="160">
        <v>154.80000000000001</v>
      </c>
      <c r="AJ94" s="160">
        <v>447.01666666666665</v>
      </c>
      <c r="AK94" s="160">
        <v>447.01666666666665</v>
      </c>
      <c r="AL94" s="161">
        <v>32.62777777777778</v>
      </c>
      <c r="AM94" s="161">
        <v>0.17777777777777778</v>
      </c>
      <c r="AN94" s="161">
        <v>32.805555555555557</v>
      </c>
      <c r="AO94" s="161">
        <v>447.19444444444446</v>
      </c>
      <c r="AP94" s="162">
        <v>0</v>
      </c>
      <c r="AQ94" s="168">
        <v>0</v>
      </c>
      <c r="AR94" s="160">
        <v>0</v>
      </c>
      <c r="AS94" s="160">
        <v>0</v>
      </c>
      <c r="AT94" s="160">
        <v>0</v>
      </c>
      <c r="AU94" s="160">
        <v>0</v>
      </c>
      <c r="AV94" s="160">
        <v>30</v>
      </c>
      <c r="AW94" s="160">
        <v>50</v>
      </c>
      <c r="AX94" s="160">
        <v>94</v>
      </c>
      <c r="AY94" s="160">
        <v>89</v>
      </c>
      <c r="AZ94" s="160">
        <v>75</v>
      </c>
      <c r="BA94" s="160">
        <v>77</v>
      </c>
      <c r="BB94" s="160">
        <v>78</v>
      </c>
      <c r="BC94" s="160">
        <v>30</v>
      </c>
      <c r="BD94" s="160">
        <v>144</v>
      </c>
      <c r="BE94" s="160">
        <v>319</v>
      </c>
      <c r="BF94" s="160">
        <v>174</v>
      </c>
      <c r="BG94" s="160">
        <v>493</v>
      </c>
      <c r="BH94" s="160">
        <v>493</v>
      </c>
      <c r="BI94" s="160">
        <v>0</v>
      </c>
      <c r="BJ94" s="160">
        <v>0</v>
      </c>
      <c r="BK94" s="160">
        <v>0</v>
      </c>
      <c r="BL94" s="160">
        <v>70</v>
      </c>
      <c r="BM94" s="160">
        <v>42</v>
      </c>
      <c r="BN94" s="162">
        <v>0</v>
      </c>
      <c r="BO94" s="162">
        <v>42</v>
      </c>
      <c r="BP94" s="162">
        <v>1</v>
      </c>
      <c r="BQ94" s="163">
        <v>5.8453213643891611E-2</v>
      </c>
      <c r="BR94" s="164">
        <v>26.968500000000002</v>
      </c>
      <c r="BS94" s="164">
        <v>26.968500000000002</v>
      </c>
      <c r="BT94" s="164">
        <v>26.593500000000002</v>
      </c>
      <c r="BU94" s="164">
        <v>26.968499999999995</v>
      </c>
      <c r="BV94" s="165">
        <v>383</v>
      </c>
      <c r="BW94" s="165">
        <v>234</v>
      </c>
      <c r="BX94" s="166">
        <v>325.544444</v>
      </c>
      <c r="BY94" s="166">
        <v>0</v>
      </c>
      <c r="BZ94" s="166">
        <v>0</v>
      </c>
      <c r="CA94" s="166">
        <v>0</v>
      </c>
      <c r="CB94" s="166">
        <v>0</v>
      </c>
      <c r="CC94" s="166">
        <v>0</v>
      </c>
      <c r="CD94" s="166">
        <v>0</v>
      </c>
      <c r="CE94" s="166">
        <v>0</v>
      </c>
      <c r="CF94" s="166">
        <v>0</v>
      </c>
      <c r="CG94" s="166">
        <v>29.777777777777779</v>
      </c>
      <c r="CH94" s="166">
        <v>49.088888888888889</v>
      </c>
      <c r="CI94" s="166">
        <v>91.333333333333329</v>
      </c>
      <c r="CJ94" s="166">
        <v>84.00555555555556</v>
      </c>
      <c r="CK94" s="166">
        <v>73.338888888888889</v>
      </c>
      <c r="CL94" s="166">
        <v>69.86666666666666</v>
      </c>
      <c r="CM94" s="166">
        <v>72.333333333333329</v>
      </c>
      <c r="CN94" s="166">
        <v>29.777777777777779</v>
      </c>
      <c r="CO94" s="166">
        <v>140.42222222222222</v>
      </c>
      <c r="CP94" s="166">
        <v>299.54444444444442</v>
      </c>
      <c r="CQ94" s="166">
        <v>170.2</v>
      </c>
      <c r="CR94" s="166">
        <v>469.74444444444441</v>
      </c>
      <c r="CS94" s="166">
        <v>469.74444444444441</v>
      </c>
      <c r="CT94" s="166">
        <v>40.3888888888889</v>
      </c>
      <c r="CU94" s="166">
        <v>0</v>
      </c>
      <c r="CV94" s="166">
        <v>40.3888888888889</v>
      </c>
      <c r="CW94" s="166">
        <v>469.74444444444441</v>
      </c>
      <c r="CX94" s="166">
        <v>390.3</v>
      </c>
      <c r="CY94" s="166">
        <v>0</v>
      </c>
      <c r="CZ94" s="165">
        <v>0</v>
      </c>
      <c r="DA94" s="165">
        <v>0</v>
      </c>
      <c r="DB94" s="165">
        <v>0</v>
      </c>
      <c r="DC94" s="165">
        <v>0</v>
      </c>
      <c r="DD94" s="165">
        <v>0</v>
      </c>
      <c r="DE94" s="165">
        <v>0</v>
      </c>
      <c r="DF94" s="165">
        <v>0</v>
      </c>
      <c r="DG94" s="165">
        <v>30</v>
      </c>
      <c r="DH94" s="165">
        <v>77</v>
      </c>
      <c r="DI94" s="165">
        <v>78</v>
      </c>
      <c r="DJ94" s="165">
        <v>105</v>
      </c>
      <c r="DK94" s="165">
        <v>82</v>
      </c>
      <c r="DL94" s="165">
        <v>76</v>
      </c>
      <c r="DM94" s="165">
        <v>60</v>
      </c>
      <c r="DN94" s="165">
        <v>30</v>
      </c>
      <c r="DO94" s="165">
        <v>155</v>
      </c>
      <c r="DP94" s="165">
        <v>323</v>
      </c>
      <c r="DQ94" s="165">
        <v>185</v>
      </c>
      <c r="DR94" s="165">
        <v>508</v>
      </c>
      <c r="DS94" s="165">
        <v>508</v>
      </c>
      <c r="DT94" s="165">
        <v>0</v>
      </c>
      <c r="DU94" s="165">
        <v>80</v>
      </c>
      <c r="DV94" s="165">
        <v>41</v>
      </c>
      <c r="DW94" s="165">
        <v>0</v>
      </c>
      <c r="DX94" s="165">
        <v>41</v>
      </c>
      <c r="DY94" s="165">
        <v>508</v>
      </c>
      <c r="DZ94" s="165">
        <v>1</v>
      </c>
      <c r="EA94" s="166">
        <v>39.334499999999998</v>
      </c>
      <c r="EB94" s="166">
        <v>39.334499999999998</v>
      </c>
      <c r="EC94" s="166">
        <v>3.1340000000000003</v>
      </c>
      <c r="ED94" s="166">
        <v>33.376000000000005</v>
      </c>
      <c r="EE94" s="166">
        <v>0</v>
      </c>
      <c r="EF94" s="166">
        <v>40.5015</v>
      </c>
      <c r="EG94" s="167">
        <v>7.3050385109114269E-2</v>
      </c>
      <c r="EH94" s="165"/>
      <c r="EI94" s="165">
        <v>0</v>
      </c>
      <c r="EJ94" s="165">
        <v>505</v>
      </c>
      <c r="EK94" s="165">
        <v>35</v>
      </c>
      <c r="EL94" s="165">
        <v>107</v>
      </c>
      <c r="EM94" s="165">
        <v>363</v>
      </c>
      <c r="EN94" s="165">
        <v>505</v>
      </c>
      <c r="EO94" s="165">
        <v>0</v>
      </c>
      <c r="EP94" s="165">
        <v>44</v>
      </c>
      <c r="EQ94" s="165">
        <v>44</v>
      </c>
      <c r="ER94" s="165">
        <v>41</v>
      </c>
      <c r="ES94" s="165">
        <v>3</v>
      </c>
      <c r="ET94" s="165">
        <v>1</v>
      </c>
      <c r="EU94" s="166">
        <v>2.875</v>
      </c>
      <c r="EV94" s="166">
        <v>0</v>
      </c>
      <c r="EW94" s="166">
        <v>3.4249999999999998</v>
      </c>
      <c r="EX94" s="166">
        <v>0</v>
      </c>
      <c r="EY94" s="166">
        <v>0</v>
      </c>
      <c r="EZ94" s="166">
        <v>6.3</v>
      </c>
      <c r="FA94" s="166">
        <v>0</v>
      </c>
      <c r="FB94" s="166">
        <v>0</v>
      </c>
      <c r="FC94" s="166">
        <v>0</v>
      </c>
      <c r="FD94" s="166">
        <v>0</v>
      </c>
      <c r="FE94" s="166">
        <v>0</v>
      </c>
      <c r="FF94" s="166">
        <v>0</v>
      </c>
      <c r="FG94" s="166">
        <v>0</v>
      </c>
      <c r="FH94" s="166">
        <v>0</v>
      </c>
      <c r="FI94" s="166">
        <v>32.733333333333334</v>
      </c>
      <c r="FJ94" s="166">
        <v>72.86666666666666</v>
      </c>
      <c r="FK94" s="166">
        <v>76.394444444444446</v>
      </c>
      <c r="FL94" s="166">
        <v>100.51111111111111</v>
      </c>
      <c r="FM94" s="166">
        <v>77.99444444444444</v>
      </c>
      <c r="FN94" s="166">
        <v>70.355555555555554</v>
      </c>
      <c r="FO94" s="166">
        <v>53.81111111111111</v>
      </c>
      <c r="FP94" s="166">
        <v>32.733333333333334</v>
      </c>
      <c r="FQ94" s="166">
        <v>149.26111111111112</v>
      </c>
      <c r="FR94" s="166">
        <v>302.67222222222222</v>
      </c>
      <c r="FS94" s="166">
        <v>181.99444444444444</v>
      </c>
      <c r="FT94" s="166">
        <v>484.66666666666669</v>
      </c>
      <c r="FU94" s="166">
        <v>484.66666666666669</v>
      </c>
      <c r="FV94" s="166">
        <v>42.055555555555557</v>
      </c>
      <c r="FW94" s="166">
        <v>3</v>
      </c>
      <c r="FX94" s="166">
        <v>45.055555555555557</v>
      </c>
      <c r="FY94" s="166">
        <v>487.66666666666669</v>
      </c>
      <c r="FZ94" s="165">
        <v>0</v>
      </c>
      <c r="GA94" s="165">
        <v>0</v>
      </c>
      <c r="GB94" s="165">
        <v>0</v>
      </c>
      <c r="GC94" s="165">
        <v>0</v>
      </c>
      <c r="GD94" s="165">
        <v>0</v>
      </c>
      <c r="GE94" s="165">
        <v>0</v>
      </c>
      <c r="GF94" s="165">
        <v>0</v>
      </c>
      <c r="GG94" s="165">
        <v>0</v>
      </c>
      <c r="GH94" s="165">
        <v>58</v>
      </c>
      <c r="GI94" s="165">
        <v>56</v>
      </c>
      <c r="GJ94" s="165">
        <v>107</v>
      </c>
      <c r="GK94" s="165">
        <v>82</v>
      </c>
      <c r="GL94" s="165">
        <v>94</v>
      </c>
      <c r="GM94" s="165">
        <v>73</v>
      </c>
      <c r="GN94" s="165">
        <v>56</v>
      </c>
      <c r="GO94" s="165">
        <v>58</v>
      </c>
      <c r="GP94" s="165">
        <v>163</v>
      </c>
      <c r="GQ94" s="165">
        <v>305</v>
      </c>
      <c r="GR94" s="165">
        <v>221</v>
      </c>
      <c r="GS94" s="165">
        <v>526</v>
      </c>
      <c r="GT94" s="165">
        <v>526</v>
      </c>
      <c r="GU94" s="165">
        <v>0</v>
      </c>
      <c r="GV94" s="165">
        <v>74</v>
      </c>
      <c r="GW94" s="165">
        <v>51</v>
      </c>
      <c r="GX94" s="165">
        <v>3</v>
      </c>
      <c r="GY94" s="165">
        <v>54</v>
      </c>
      <c r="GZ94" s="165">
        <v>529</v>
      </c>
      <c r="HA94" s="165">
        <v>7</v>
      </c>
      <c r="HB94" s="166">
        <v>43.957499999999996</v>
      </c>
      <c r="HC94" s="166">
        <v>43.957499999999996</v>
      </c>
      <c r="HD94" s="166">
        <v>3.2010000000000001</v>
      </c>
      <c r="HE94" s="166">
        <v>34.854000000000013</v>
      </c>
      <c r="HF94" s="166"/>
      <c r="HG94" s="166">
        <v>43.957500000000003</v>
      </c>
      <c r="HH94" s="166">
        <v>0</v>
      </c>
      <c r="HI94" s="166">
        <v>55</v>
      </c>
      <c r="HJ94" s="166">
        <v>55</v>
      </c>
      <c r="HK94" s="166">
        <v>51</v>
      </c>
      <c r="HL94" s="166">
        <v>4</v>
      </c>
      <c r="HM94" s="166">
        <v>2</v>
      </c>
      <c r="HN94" s="166">
        <v>0</v>
      </c>
      <c r="HO94" s="166">
        <v>526</v>
      </c>
      <c r="HP94" s="166">
        <v>40</v>
      </c>
      <c r="HQ94" s="166">
        <v>150</v>
      </c>
      <c r="HR94" s="166">
        <v>336</v>
      </c>
      <c r="HS94" s="166">
        <v>526</v>
      </c>
      <c r="HT94" s="166">
        <f>FY26_FE_Data_April15[[#This Row],[Oct 1, 2026 (CDC) - K]]+FY26_FE_Data_April15[[#This Row],[Oct 1, 2026 (CDC) - Grades 1-6]]+FY26_FE_Data_April15[[#This Row],[Oct 1, 2026 (CDC) - Grades 7-8]]</f>
        <v>190</v>
      </c>
      <c r="HU94" s="166">
        <v>415.9</v>
      </c>
      <c r="HW94" s="170"/>
      <c r="HY94" s="170"/>
    </row>
    <row r="95" spans="1:233" ht="26">
      <c r="A95" s="158" t="s">
        <v>497</v>
      </c>
      <c r="B95" s="159" t="s">
        <v>498</v>
      </c>
      <c r="C95" s="160" t="s">
        <v>499</v>
      </c>
      <c r="D95" s="160" t="s">
        <v>139</v>
      </c>
      <c r="E95" s="159" t="s">
        <v>784</v>
      </c>
      <c r="F95" s="159" t="s">
        <v>784</v>
      </c>
      <c r="G95" s="159"/>
      <c r="H95" s="161">
        <v>83.7</v>
      </c>
      <c r="I95" s="161">
        <v>6.7444444444444445</v>
      </c>
      <c r="J95" s="161">
        <v>90.444444444444443</v>
      </c>
      <c r="K95" s="162">
        <v>78</v>
      </c>
      <c r="L95" s="162">
        <v>455</v>
      </c>
      <c r="M95" s="162">
        <v>0</v>
      </c>
      <c r="N95" s="162">
        <v>0</v>
      </c>
      <c r="O95" s="162">
        <v>533</v>
      </c>
      <c r="P95" s="162">
        <v>455</v>
      </c>
      <c r="Q95" s="162">
        <v>533</v>
      </c>
      <c r="R95" s="162">
        <v>6</v>
      </c>
      <c r="S95" s="160">
        <v>76.544444444444451</v>
      </c>
      <c r="T95" s="160">
        <v>86.00555555555556</v>
      </c>
      <c r="U95" s="160">
        <v>86.094444444444449</v>
      </c>
      <c r="V95" s="160">
        <v>78.144444444444446</v>
      </c>
      <c r="W95" s="160">
        <v>79.266666666666666</v>
      </c>
      <c r="X95" s="160">
        <v>53.322222222222223</v>
      </c>
      <c r="Y95" s="160">
        <v>55.722222222222221</v>
      </c>
      <c r="Z95" s="160">
        <v>0</v>
      </c>
      <c r="AA95" s="160">
        <v>0</v>
      </c>
      <c r="AB95" s="160">
        <v>0</v>
      </c>
      <c r="AC95" s="160">
        <v>0</v>
      </c>
      <c r="AD95" s="160">
        <v>0</v>
      </c>
      <c r="AE95" s="160">
        <v>0</v>
      </c>
      <c r="AF95" s="160">
        <v>438.5555555555556</v>
      </c>
      <c r="AG95" s="160">
        <v>0</v>
      </c>
      <c r="AH95" s="160">
        <v>0</v>
      </c>
      <c r="AI95" s="160">
        <v>515.09999999999991</v>
      </c>
      <c r="AJ95" s="160">
        <v>438.5555555555556</v>
      </c>
      <c r="AK95" s="160">
        <v>515.09999999999991</v>
      </c>
      <c r="AL95" s="161">
        <v>105</v>
      </c>
      <c r="AM95" s="161">
        <v>6.45</v>
      </c>
      <c r="AN95" s="161">
        <v>111.45</v>
      </c>
      <c r="AO95" s="161">
        <v>521.54999999999995</v>
      </c>
      <c r="AP95" s="162">
        <v>78</v>
      </c>
      <c r="AQ95" s="168">
        <v>86</v>
      </c>
      <c r="AR95" s="160">
        <v>85</v>
      </c>
      <c r="AS95" s="160">
        <v>90</v>
      </c>
      <c r="AT95" s="160">
        <v>77</v>
      </c>
      <c r="AU95" s="160">
        <v>70</v>
      </c>
      <c r="AV95" s="160">
        <v>53</v>
      </c>
      <c r="AW95" s="160">
        <v>0</v>
      </c>
      <c r="AX95" s="160">
        <v>0</v>
      </c>
      <c r="AY95" s="160">
        <v>0</v>
      </c>
      <c r="AZ95" s="160">
        <v>0</v>
      </c>
      <c r="BA95" s="160">
        <v>0</v>
      </c>
      <c r="BB95" s="160">
        <v>0</v>
      </c>
      <c r="BC95" s="160">
        <v>461</v>
      </c>
      <c r="BD95" s="160">
        <v>0</v>
      </c>
      <c r="BE95" s="160">
        <v>0</v>
      </c>
      <c r="BF95" s="160">
        <v>539</v>
      </c>
      <c r="BG95" s="160">
        <v>461</v>
      </c>
      <c r="BH95" s="160">
        <v>539</v>
      </c>
      <c r="BI95" s="160">
        <v>78</v>
      </c>
      <c r="BJ95" s="160">
        <v>0</v>
      </c>
      <c r="BK95" s="160">
        <v>0</v>
      </c>
      <c r="BL95" s="160">
        <v>222</v>
      </c>
      <c r="BM95" s="160">
        <v>101</v>
      </c>
      <c r="BN95" s="162">
        <v>7</v>
      </c>
      <c r="BO95" s="162">
        <v>108</v>
      </c>
      <c r="BP95" s="162">
        <v>26</v>
      </c>
      <c r="BQ95" s="163">
        <v>6.8036619579662339E-2</v>
      </c>
      <c r="BR95" s="164">
        <v>25.58</v>
      </c>
      <c r="BS95" s="164">
        <v>24.58</v>
      </c>
      <c r="BT95" s="164">
        <v>24.08</v>
      </c>
      <c r="BU95" s="164">
        <v>25.580000000000002</v>
      </c>
      <c r="BV95" s="165">
        <v>0</v>
      </c>
      <c r="BW95" s="165">
        <v>0</v>
      </c>
      <c r="BX95" s="166">
        <v>0</v>
      </c>
      <c r="BY95" s="166">
        <v>0</v>
      </c>
      <c r="BZ95" s="166">
        <v>77.488888000000003</v>
      </c>
      <c r="CA95" s="166">
        <v>77.488888888888894</v>
      </c>
      <c r="CB95" s="166">
        <v>84.688888888888883</v>
      </c>
      <c r="CC95" s="166">
        <v>84.288888888888891</v>
      </c>
      <c r="CD95" s="166">
        <v>87.305555555555557</v>
      </c>
      <c r="CE95" s="166">
        <v>71.488888888888894</v>
      </c>
      <c r="CF95" s="166">
        <v>70.855555555555554</v>
      </c>
      <c r="CG95" s="166">
        <v>48.305555555555557</v>
      </c>
      <c r="CH95" s="166">
        <v>0</v>
      </c>
      <c r="CI95" s="166">
        <v>0</v>
      </c>
      <c r="CJ95" s="166">
        <v>0</v>
      </c>
      <c r="CK95" s="166">
        <v>0</v>
      </c>
      <c r="CL95" s="166">
        <v>0</v>
      </c>
      <c r="CM95" s="166">
        <v>0</v>
      </c>
      <c r="CN95" s="166">
        <v>446.93333333333328</v>
      </c>
      <c r="CO95" s="166">
        <v>0</v>
      </c>
      <c r="CP95" s="166">
        <v>0</v>
      </c>
      <c r="CQ95" s="166">
        <v>524.42222222222222</v>
      </c>
      <c r="CR95" s="166">
        <v>446.93333333333328</v>
      </c>
      <c r="CS95" s="166">
        <v>524.42222222222222</v>
      </c>
      <c r="CT95" s="166">
        <v>103.527777777778</v>
      </c>
      <c r="CU95" s="166">
        <v>7.2333333333333298</v>
      </c>
      <c r="CV95" s="166">
        <v>110.76111111111133</v>
      </c>
      <c r="CW95" s="166">
        <v>531.65555555555557</v>
      </c>
      <c r="CX95" s="166">
        <v>0</v>
      </c>
      <c r="CY95" s="166">
        <v>75</v>
      </c>
      <c r="CZ95" s="165">
        <v>0</v>
      </c>
      <c r="DA95" s="165">
        <v>75</v>
      </c>
      <c r="DB95" s="165">
        <v>84</v>
      </c>
      <c r="DC95" s="165">
        <v>90</v>
      </c>
      <c r="DD95" s="165">
        <v>83</v>
      </c>
      <c r="DE95" s="165">
        <v>88</v>
      </c>
      <c r="DF95" s="165">
        <v>67</v>
      </c>
      <c r="DG95" s="165">
        <v>71</v>
      </c>
      <c r="DH95" s="165">
        <v>0</v>
      </c>
      <c r="DI95" s="165">
        <v>0</v>
      </c>
      <c r="DJ95" s="165">
        <v>0</v>
      </c>
      <c r="DK95" s="165">
        <v>0</v>
      </c>
      <c r="DL95" s="165">
        <v>0</v>
      </c>
      <c r="DM95" s="165">
        <v>0</v>
      </c>
      <c r="DN95" s="165">
        <v>483</v>
      </c>
      <c r="DO95" s="165">
        <v>0</v>
      </c>
      <c r="DP95" s="165">
        <v>0</v>
      </c>
      <c r="DQ95" s="165">
        <v>558</v>
      </c>
      <c r="DR95" s="165">
        <v>483</v>
      </c>
      <c r="DS95" s="165">
        <v>558</v>
      </c>
      <c r="DT95" s="165">
        <v>0</v>
      </c>
      <c r="DU95" s="165">
        <v>196</v>
      </c>
      <c r="DV95" s="165">
        <v>109</v>
      </c>
      <c r="DW95" s="165">
        <v>7</v>
      </c>
      <c r="DX95" s="165">
        <v>116</v>
      </c>
      <c r="DY95" s="165">
        <v>565</v>
      </c>
      <c r="DZ95" s="165">
        <v>21</v>
      </c>
      <c r="EA95" s="166">
        <v>28.85</v>
      </c>
      <c r="EB95" s="166">
        <v>26.85</v>
      </c>
      <c r="EC95" s="166">
        <v>22.39</v>
      </c>
      <c r="ED95" s="166">
        <v>0</v>
      </c>
      <c r="EE95" s="166">
        <v>0</v>
      </c>
      <c r="EF95" s="166">
        <v>29.23</v>
      </c>
      <c r="EG95" s="167">
        <v>6.3053444572939099E-2</v>
      </c>
      <c r="EH95" s="165"/>
      <c r="EI95" s="165">
        <v>71</v>
      </c>
      <c r="EJ95" s="165">
        <v>486</v>
      </c>
      <c r="EK95" s="165">
        <v>486</v>
      </c>
      <c r="EL95" s="165">
        <v>0</v>
      </c>
      <c r="EM95" s="165">
        <v>0</v>
      </c>
      <c r="EN95" s="165">
        <v>557</v>
      </c>
      <c r="EO95" s="165">
        <v>0</v>
      </c>
      <c r="EP95" s="165">
        <v>122</v>
      </c>
      <c r="EQ95" s="165">
        <v>122</v>
      </c>
      <c r="ER95" s="165">
        <v>116</v>
      </c>
      <c r="ES95" s="165">
        <v>6</v>
      </c>
      <c r="ET95" s="165">
        <v>0</v>
      </c>
      <c r="EU95" s="166">
        <v>40.229999999999997</v>
      </c>
      <c r="EV95" s="166">
        <v>1</v>
      </c>
      <c r="EW95" s="166">
        <v>2.4300000000000002</v>
      </c>
      <c r="EX95" s="166">
        <v>0.38</v>
      </c>
      <c r="EY95" s="166">
        <v>4.43</v>
      </c>
      <c r="EZ95" s="166">
        <v>48.47</v>
      </c>
      <c r="FA95" s="166">
        <v>0</v>
      </c>
      <c r="FB95" s="166">
        <v>74.727777777777774</v>
      </c>
      <c r="FC95" s="166">
        <v>74.727777777777774</v>
      </c>
      <c r="FD95" s="166">
        <v>84.694444444444443</v>
      </c>
      <c r="FE95" s="166">
        <v>89.605555555555554</v>
      </c>
      <c r="FF95" s="166">
        <v>79.533333333333331</v>
      </c>
      <c r="FG95" s="166">
        <v>86.35</v>
      </c>
      <c r="FH95" s="166">
        <v>60.727777777777774</v>
      </c>
      <c r="FI95" s="166">
        <v>70.722222222222229</v>
      </c>
      <c r="FJ95" s="166">
        <v>0</v>
      </c>
      <c r="FK95" s="166">
        <v>0</v>
      </c>
      <c r="FL95" s="166">
        <v>0</v>
      </c>
      <c r="FM95" s="166">
        <v>0</v>
      </c>
      <c r="FN95" s="166">
        <v>0</v>
      </c>
      <c r="FO95" s="166">
        <v>0</v>
      </c>
      <c r="FP95" s="166">
        <v>471.63333333333333</v>
      </c>
      <c r="FQ95" s="166">
        <v>0</v>
      </c>
      <c r="FR95" s="166">
        <v>0</v>
      </c>
      <c r="FS95" s="166">
        <v>546.36111111111109</v>
      </c>
      <c r="FT95" s="166">
        <v>471.63333333333333</v>
      </c>
      <c r="FU95" s="166">
        <v>546.36111111111109</v>
      </c>
      <c r="FV95" s="166">
        <v>115.47222222222223</v>
      </c>
      <c r="FW95" s="166">
        <v>6.4</v>
      </c>
      <c r="FX95" s="166">
        <v>121.87222222222223</v>
      </c>
      <c r="FY95" s="166">
        <v>552.76111111111106</v>
      </c>
      <c r="FZ95" s="165">
        <v>0</v>
      </c>
      <c r="GA95" s="165">
        <v>76</v>
      </c>
      <c r="GB95" s="165">
        <v>76</v>
      </c>
      <c r="GC95" s="165">
        <v>80</v>
      </c>
      <c r="GD95" s="165">
        <v>85</v>
      </c>
      <c r="GE95" s="165">
        <v>88</v>
      </c>
      <c r="GF95" s="165">
        <v>81</v>
      </c>
      <c r="GG95" s="165">
        <v>83</v>
      </c>
      <c r="GH95" s="165">
        <v>51</v>
      </c>
      <c r="GI95" s="165">
        <v>0</v>
      </c>
      <c r="GJ95" s="165">
        <v>0</v>
      </c>
      <c r="GK95" s="165">
        <v>0</v>
      </c>
      <c r="GL95" s="165">
        <v>0</v>
      </c>
      <c r="GM95" s="165">
        <v>0</v>
      </c>
      <c r="GN95" s="165">
        <v>0</v>
      </c>
      <c r="GO95" s="165">
        <v>468</v>
      </c>
      <c r="GP95" s="165">
        <v>0</v>
      </c>
      <c r="GQ95" s="165">
        <v>0</v>
      </c>
      <c r="GR95" s="165">
        <v>544</v>
      </c>
      <c r="GS95" s="165">
        <v>468</v>
      </c>
      <c r="GT95" s="165">
        <v>544</v>
      </c>
      <c r="GU95" s="165">
        <v>0</v>
      </c>
      <c r="GV95" s="165">
        <v>218</v>
      </c>
      <c r="GW95" s="165">
        <v>110</v>
      </c>
      <c r="GX95" s="165">
        <v>4</v>
      </c>
      <c r="GY95" s="165">
        <v>114</v>
      </c>
      <c r="GZ95" s="165">
        <v>548</v>
      </c>
      <c r="HA95" s="165">
        <v>19</v>
      </c>
      <c r="HB95" s="166">
        <v>24.455000000000002</v>
      </c>
      <c r="HC95" s="166">
        <v>22.454999999999998</v>
      </c>
      <c r="HD95" s="166">
        <v>17.725000000000001</v>
      </c>
      <c r="HE95" s="166">
        <v>0</v>
      </c>
      <c r="HF95" s="166"/>
      <c r="HG95" s="166">
        <v>25.184999999999999</v>
      </c>
      <c r="HH95" s="166">
        <v>0</v>
      </c>
      <c r="HI95" s="166">
        <v>114</v>
      </c>
      <c r="HJ95" s="166">
        <v>114</v>
      </c>
      <c r="HK95" s="166">
        <v>110</v>
      </c>
      <c r="HL95" s="166">
        <v>4</v>
      </c>
      <c r="HM95" s="166">
        <v>0</v>
      </c>
      <c r="HN95" s="166">
        <v>75</v>
      </c>
      <c r="HO95" s="166">
        <v>481</v>
      </c>
      <c r="HP95" s="166">
        <v>481</v>
      </c>
      <c r="HQ95" s="166">
        <v>0</v>
      </c>
      <c r="HR95" s="166">
        <v>0</v>
      </c>
      <c r="HS95" s="166">
        <v>556</v>
      </c>
      <c r="HT95" s="166">
        <f>FY26_FE_Data_April15[[#This Row],[Oct 1, 2026 (CDC) - K]]+FY26_FE_Data_April15[[#This Row],[Oct 1, 2026 (CDC) - Grades 1-6]]+FY26_FE_Data_April15[[#This Row],[Oct 1, 2026 (CDC) - Grades 7-8]]</f>
        <v>556</v>
      </c>
      <c r="HU95" s="166">
        <v>0</v>
      </c>
      <c r="HW95" s="170"/>
      <c r="HY95" s="170"/>
    </row>
    <row r="96" spans="1:233" ht="26">
      <c r="A96" s="158" t="s">
        <v>500</v>
      </c>
      <c r="B96" s="159" t="s">
        <v>501</v>
      </c>
      <c r="C96" s="160" t="s">
        <v>502</v>
      </c>
      <c r="D96" s="160" t="s">
        <v>139</v>
      </c>
      <c r="E96" s="159" t="s">
        <v>784</v>
      </c>
      <c r="F96" s="159" t="s">
        <v>784</v>
      </c>
      <c r="G96" s="159"/>
      <c r="H96" s="161">
        <v>62.638888888888886</v>
      </c>
      <c r="I96" s="161">
        <v>0</v>
      </c>
      <c r="J96" s="161">
        <v>62.638888888888886</v>
      </c>
      <c r="K96" s="162">
        <v>52</v>
      </c>
      <c r="L96" s="162">
        <v>433</v>
      </c>
      <c r="M96" s="162">
        <v>0</v>
      </c>
      <c r="N96" s="162">
        <v>0</v>
      </c>
      <c r="O96" s="162">
        <v>485</v>
      </c>
      <c r="P96" s="162">
        <v>433</v>
      </c>
      <c r="Q96" s="162">
        <v>485</v>
      </c>
      <c r="R96" s="162">
        <v>0</v>
      </c>
      <c r="S96" s="160">
        <v>50.616666666666667</v>
      </c>
      <c r="T96" s="160">
        <v>67.172222222222217</v>
      </c>
      <c r="U96" s="160">
        <v>71.816666666666663</v>
      </c>
      <c r="V96" s="160">
        <v>76.405555555555551</v>
      </c>
      <c r="W96" s="160">
        <v>69.416666666666671</v>
      </c>
      <c r="X96" s="160">
        <v>69.944444444444443</v>
      </c>
      <c r="Y96" s="160">
        <v>73.305555555555557</v>
      </c>
      <c r="Z96" s="160">
        <v>0</v>
      </c>
      <c r="AA96" s="160">
        <v>0</v>
      </c>
      <c r="AB96" s="160">
        <v>0</v>
      </c>
      <c r="AC96" s="160">
        <v>0</v>
      </c>
      <c r="AD96" s="160">
        <v>0</v>
      </c>
      <c r="AE96" s="160">
        <v>0</v>
      </c>
      <c r="AF96" s="160">
        <v>428.06111111111113</v>
      </c>
      <c r="AG96" s="160">
        <v>0</v>
      </c>
      <c r="AH96" s="160">
        <v>0</v>
      </c>
      <c r="AI96" s="160">
        <v>478.67777777777781</v>
      </c>
      <c r="AJ96" s="160">
        <v>428.06111111111113</v>
      </c>
      <c r="AK96" s="160">
        <v>478.67777777777781</v>
      </c>
      <c r="AL96" s="161">
        <v>69.188888888888883</v>
      </c>
      <c r="AM96" s="161">
        <v>0</v>
      </c>
      <c r="AN96" s="161">
        <v>69.188888888888883</v>
      </c>
      <c r="AO96" s="161">
        <v>478.67777777777781</v>
      </c>
      <c r="AP96" s="162">
        <v>60</v>
      </c>
      <c r="AQ96" s="168">
        <v>73</v>
      </c>
      <c r="AR96" s="160">
        <v>76</v>
      </c>
      <c r="AS96" s="160">
        <v>75</v>
      </c>
      <c r="AT96" s="160">
        <v>79</v>
      </c>
      <c r="AU96" s="160">
        <v>78</v>
      </c>
      <c r="AV96" s="160">
        <v>64</v>
      </c>
      <c r="AW96" s="160">
        <v>0</v>
      </c>
      <c r="AX96" s="160">
        <v>0</v>
      </c>
      <c r="AY96" s="160">
        <v>0</v>
      </c>
      <c r="AZ96" s="160">
        <v>0</v>
      </c>
      <c r="BA96" s="160">
        <v>0</v>
      </c>
      <c r="BB96" s="160">
        <v>0</v>
      </c>
      <c r="BC96" s="160">
        <v>445</v>
      </c>
      <c r="BD96" s="160">
        <v>0</v>
      </c>
      <c r="BE96" s="160">
        <v>0</v>
      </c>
      <c r="BF96" s="160">
        <v>505</v>
      </c>
      <c r="BG96" s="160">
        <v>445</v>
      </c>
      <c r="BH96" s="160">
        <v>505</v>
      </c>
      <c r="BI96" s="160">
        <v>30</v>
      </c>
      <c r="BJ96" s="160">
        <v>30</v>
      </c>
      <c r="BK96" s="160">
        <v>0</v>
      </c>
      <c r="BL96" s="160">
        <v>95</v>
      </c>
      <c r="BM96" s="160">
        <v>89</v>
      </c>
      <c r="BN96" s="162">
        <v>0</v>
      </c>
      <c r="BO96" s="162">
        <v>89</v>
      </c>
      <c r="BP96" s="162">
        <v>16</v>
      </c>
      <c r="BQ96" s="163">
        <v>6.7576021211368076E-2</v>
      </c>
      <c r="BR96" s="164">
        <v>30.748000000000001</v>
      </c>
      <c r="BS96" s="164">
        <v>28.748000000000001</v>
      </c>
      <c r="BT96" s="164">
        <v>27.748000000000001</v>
      </c>
      <c r="BU96" s="164">
        <v>30.748000000000001</v>
      </c>
      <c r="BV96" s="165">
        <v>0</v>
      </c>
      <c r="BW96" s="165">
        <v>0</v>
      </c>
      <c r="BX96" s="166">
        <v>0</v>
      </c>
      <c r="BY96" s="166">
        <v>29.433333000000001</v>
      </c>
      <c r="BZ96" s="166">
        <v>28.866665999999999</v>
      </c>
      <c r="CA96" s="166">
        <v>58.3</v>
      </c>
      <c r="CB96" s="166">
        <v>71.983333333333334</v>
      </c>
      <c r="CC96" s="166">
        <v>75.333333333333329</v>
      </c>
      <c r="CD96" s="166">
        <v>73.683333333333337</v>
      </c>
      <c r="CE96" s="166">
        <v>78.227777777777774</v>
      </c>
      <c r="CF96" s="166">
        <v>77.477777777777774</v>
      </c>
      <c r="CG96" s="166">
        <v>64.016666666666666</v>
      </c>
      <c r="CH96" s="166">
        <v>0</v>
      </c>
      <c r="CI96" s="166">
        <v>0</v>
      </c>
      <c r="CJ96" s="166">
        <v>0</v>
      </c>
      <c r="CK96" s="166">
        <v>0</v>
      </c>
      <c r="CL96" s="166">
        <v>0</v>
      </c>
      <c r="CM96" s="166">
        <v>0</v>
      </c>
      <c r="CN96" s="166">
        <v>440.72222222222217</v>
      </c>
      <c r="CO96" s="166">
        <v>0</v>
      </c>
      <c r="CP96" s="166">
        <v>0</v>
      </c>
      <c r="CQ96" s="166">
        <v>499.02222222222218</v>
      </c>
      <c r="CR96" s="166">
        <v>440.72222222222217</v>
      </c>
      <c r="CS96" s="166">
        <v>499.02222222222218</v>
      </c>
      <c r="CT96" s="166">
        <v>95.311111111111103</v>
      </c>
      <c r="CU96" s="166">
        <v>0</v>
      </c>
      <c r="CV96" s="166">
        <v>95.311111111111103</v>
      </c>
      <c r="CW96" s="166">
        <v>499.02222222222218</v>
      </c>
      <c r="CX96" s="166">
        <v>0</v>
      </c>
      <c r="CY96" s="166">
        <v>72</v>
      </c>
      <c r="CZ96" s="165">
        <v>0</v>
      </c>
      <c r="DA96" s="165">
        <v>72</v>
      </c>
      <c r="DB96" s="165">
        <v>74</v>
      </c>
      <c r="DC96" s="165">
        <v>73</v>
      </c>
      <c r="DD96" s="165">
        <v>74</v>
      </c>
      <c r="DE96" s="165">
        <v>74</v>
      </c>
      <c r="DF96" s="165">
        <v>78</v>
      </c>
      <c r="DG96" s="165">
        <v>75</v>
      </c>
      <c r="DH96" s="165">
        <v>0</v>
      </c>
      <c r="DI96" s="165">
        <v>0</v>
      </c>
      <c r="DJ96" s="165">
        <v>0</v>
      </c>
      <c r="DK96" s="165">
        <v>0</v>
      </c>
      <c r="DL96" s="165">
        <v>0</v>
      </c>
      <c r="DM96" s="165">
        <v>0</v>
      </c>
      <c r="DN96" s="165">
        <v>448</v>
      </c>
      <c r="DO96" s="165">
        <v>0</v>
      </c>
      <c r="DP96" s="165">
        <v>0</v>
      </c>
      <c r="DQ96" s="165">
        <v>520</v>
      </c>
      <c r="DR96" s="165">
        <v>448</v>
      </c>
      <c r="DS96" s="165">
        <v>520</v>
      </c>
      <c r="DT96" s="165">
        <v>0</v>
      </c>
      <c r="DU96" s="165">
        <v>100</v>
      </c>
      <c r="DV96" s="165">
        <v>92</v>
      </c>
      <c r="DW96" s="165">
        <v>0</v>
      </c>
      <c r="DX96" s="165">
        <v>92</v>
      </c>
      <c r="DY96" s="165">
        <v>520</v>
      </c>
      <c r="DZ96" s="165">
        <v>17</v>
      </c>
      <c r="EA96" s="166">
        <v>34.44</v>
      </c>
      <c r="EB96" s="166">
        <v>31.44</v>
      </c>
      <c r="EC96" s="166">
        <v>25.25</v>
      </c>
      <c r="ED96" s="166">
        <v>0</v>
      </c>
      <c r="EE96" s="166">
        <v>0</v>
      </c>
      <c r="EF96" s="166">
        <v>34.44</v>
      </c>
      <c r="EG96" s="167">
        <v>6.9056308654848853E-2</v>
      </c>
      <c r="EH96" s="165"/>
      <c r="EI96" s="165">
        <v>71</v>
      </c>
      <c r="EJ96" s="165">
        <v>445</v>
      </c>
      <c r="EK96" s="165">
        <v>445</v>
      </c>
      <c r="EL96" s="165">
        <v>0</v>
      </c>
      <c r="EM96" s="165">
        <v>0</v>
      </c>
      <c r="EN96" s="165">
        <v>516</v>
      </c>
      <c r="EO96" s="165">
        <v>0</v>
      </c>
      <c r="EP96" s="165">
        <v>97</v>
      </c>
      <c r="EQ96" s="165">
        <v>97</v>
      </c>
      <c r="ER96" s="165">
        <v>96</v>
      </c>
      <c r="ES96" s="165">
        <v>1</v>
      </c>
      <c r="ET96" s="165">
        <v>0</v>
      </c>
      <c r="EU96" s="166">
        <v>13.1</v>
      </c>
      <c r="EV96" s="166">
        <v>0.72499999999999998</v>
      </c>
      <c r="EW96" s="166">
        <v>2</v>
      </c>
      <c r="EX96" s="166">
        <v>3.5</v>
      </c>
      <c r="EY96" s="166">
        <v>0</v>
      </c>
      <c r="EZ96" s="166">
        <v>19.324999999999999</v>
      </c>
      <c r="FA96" s="166">
        <v>0</v>
      </c>
      <c r="FB96" s="166">
        <v>71.400000000000006</v>
      </c>
      <c r="FC96" s="166">
        <v>71.400000000000006</v>
      </c>
      <c r="FD96" s="166">
        <v>71.222222222222229</v>
      </c>
      <c r="FE96" s="166">
        <v>72.188888888888883</v>
      </c>
      <c r="FF96" s="166">
        <v>73.205555555555549</v>
      </c>
      <c r="FG96" s="166">
        <v>71.094444444444449</v>
      </c>
      <c r="FH96" s="166">
        <v>76.87777777777778</v>
      </c>
      <c r="FI96" s="166">
        <v>73.694444444444443</v>
      </c>
      <c r="FJ96" s="166">
        <v>0</v>
      </c>
      <c r="FK96" s="166">
        <v>0</v>
      </c>
      <c r="FL96" s="166">
        <v>0</v>
      </c>
      <c r="FM96" s="166">
        <v>0</v>
      </c>
      <c r="FN96" s="166">
        <v>0</v>
      </c>
      <c r="FO96" s="166">
        <v>0</v>
      </c>
      <c r="FP96" s="166">
        <v>438.28333333333336</v>
      </c>
      <c r="FQ96" s="166">
        <v>0</v>
      </c>
      <c r="FR96" s="166">
        <v>0</v>
      </c>
      <c r="FS96" s="166">
        <v>509.68333333333334</v>
      </c>
      <c r="FT96" s="166">
        <v>438.28333333333336</v>
      </c>
      <c r="FU96" s="166">
        <v>509.68333333333334</v>
      </c>
      <c r="FV96" s="166">
        <v>93.944444444444443</v>
      </c>
      <c r="FW96" s="166">
        <v>1.5</v>
      </c>
      <c r="FX96" s="166">
        <v>95.444444444444443</v>
      </c>
      <c r="FY96" s="166">
        <v>511.18333333333334</v>
      </c>
      <c r="FZ96" s="165">
        <v>0</v>
      </c>
      <c r="GA96" s="165">
        <v>69</v>
      </c>
      <c r="GB96" s="165">
        <v>69</v>
      </c>
      <c r="GC96" s="165">
        <v>73</v>
      </c>
      <c r="GD96" s="165">
        <v>72</v>
      </c>
      <c r="GE96" s="165">
        <v>74</v>
      </c>
      <c r="GF96" s="165">
        <v>71</v>
      </c>
      <c r="GG96" s="165">
        <v>71</v>
      </c>
      <c r="GH96" s="165">
        <v>72</v>
      </c>
      <c r="GI96" s="165">
        <v>0</v>
      </c>
      <c r="GJ96" s="165">
        <v>0</v>
      </c>
      <c r="GK96" s="165">
        <v>0</v>
      </c>
      <c r="GL96" s="165">
        <v>0</v>
      </c>
      <c r="GM96" s="165">
        <v>0</v>
      </c>
      <c r="GN96" s="165">
        <v>0</v>
      </c>
      <c r="GO96" s="165">
        <v>433</v>
      </c>
      <c r="GP96" s="165">
        <v>0</v>
      </c>
      <c r="GQ96" s="165">
        <v>0</v>
      </c>
      <c r="GR96" s="165">
        <v>502</v>
      </c>
      <c r="GS96" s="165">
        <v>433</v>
      </c>
      <c r="GT96" s="165">
        <v>502</v>
      </c>
      <c r="GU96" s="165">
        <v>0</v>
      </c>
      <c r="GV96" s="165">
        <v>76</v>
      </c>
      <c r="GW96" s="165">
        <v>85</v>
      </c>
      <c r="GX96" s="165">
        <v>1</v>
      </c>
      <c r="GY96" s="165">
        <v>86</v>
      </c>
      <c r="GZ96" s="165">
        <v>503</v>
      </c>
      <c r="HA96" s="165">
        <v>10</v>
      </c>
      <c r="HB96" s="166">
        <v>35.33</v>
      </c>
      <c r="HC96" s="166">
        <v>32.33</v>
      </c>
      <c r="HD96" s="166">
        <v>24.35</v>
      </c>
      <c r="HE96" s="166">
        <v>0.5</v>
      </c>
      <c r="HF96" s="166"/>
      <c r="HG96" s="166">
        <v>36.33</v>
      </c>
      <c r="HH96" s="166">
        <v>0</v>
      </c>
      <c r="HI96" s="166">
        <v>84</v>
      </c>
      <c r="HJ96" s="166">
        <v>84</v>
      </c>
      <c r="HK96" s="166">
        <v>83</v>
      </c>
      <c r="HL96" s="166">
        <v>1</v>
      </c>
      <c r="HM96" s="166">
        <v>0</v>
      </c>
      <c r="HN96" s="166">
        <v>75</v>
      </c>
      <c r="HO96" s="166">
        <v>450</v>
      </c>
      <c r="HP96" s="166">
        <v>450</v>
      </c>
      <c r="HQ96" s="166">
        <v>0</v>
      </c>
      <c r="HR96" s="166">
        <v>0</v>
      </c>
      <c r="HS96" s="166">
        <v>525</v>
      </c>
      <c r="HT96" s="166">
        <f>FY26_FE_Data_April15[[#This Row],[Oct 1, 2026 (CDC) - K]]+FY26_FE_Data_April15[[#This Row],[Oct 1, 2026 (CDC) - Grades 1-6]]+FY26_FE_Data_April15[[#This Row],[Oct 1, 2026 (CDC) - Grades 7-8]]</f>
        <v>525</v>
      </c>
      <c r="HU96" s="166">
        <v>0</v>
      </c>
      <c r="HW96" s="170"/>
      <c r="HY96" s="170"/>
    </row>
    <row r="97" spans="1:233" ht="26">
      <c r="A97" s="158" t="s">
        <v>503</v>
      </c>
      <c r="B97" s="159" t="s">
        <v>504</v>
      </c>
      <c r="C97" s="160" t="s">
        <v>505</v>
      </c>
      <c r="D97" s="160" t="s">
        <v>139</v>
      </c>
      <c r="E97" s="159" t="s">
        <v>784</v>
      </c>
      <c r="F97" s="159" t="s">
        <v>784</v>
      </c>
      <c r="G97" s="159"/>
      <c r="H97" s="161">
        <v>119.55</v>
      </c>
      <c r="I97" s="161">
        <v>5.833333333333333</v>
      </c>
      <c r="J97" s="161">
        <v>125.38333333333333</v>
      </c>
      <c r="K97" s="162">
        <v>104</v>
      </c>
      <c r="L97" s="162">
        <v>630</v>
      </c>
      <c r="M97" s="162">
        <v>192</v>
      </c>
      <c r="N97" s="162">
        <v>84</v>
      </c>
      <c r="O97" s="162">
        <v>1010</v>
      </c>
      <c r="P97" s="162">
        <v>906</v>
      </c>
      <c r="Q97" s="162">
        <v>926</v>
      </c>
      <c r="R97" s="162">
        <v>6</v>
      </c>
      <c r="S97" s="160">
        <v>101.56666666666666</v>
      </c>
      <c r="T97" s="160">
        <v>101.71666666666667</v>
      </c>
      <c r="U97" s="160">
        <v>104.06111111111112</v>
      </c>
      <c r="V97" s="160">
        <v>102.81111111111112</v>
      </c>
      <c r="W97" s="160">
        <v>103.45555555555555</v>
      </c>
      <c r="X97" s="160">
        <v>103.63888888888889</v>
      </c>
      <c r="Y97" s="160">
        <v>102.53888888888889</v>
      </c>
      <c r="Z97" s="160">
        <v>103.32777777777778</v>
      </c>
      <c r="AA97" s="160">
        <v>87.188888888888883</v>
      </c>
      <c r="AB97" s="160">
        <v>81.74444444444444</v>
      </c>
      <c r="AC97" s="160">
        <v>0</v>
      </c>
      <c r="AD97" s="160">
        <v>0</v>
      </c>
      <c r="AE97" s="160">
        <v>0</v>
      </c>
      <c r="AF97" s="160">
        <v>618.22222222222229</v>
      </c>
      <c r="AG97" s="160">
        <v>190.51666666666665</v>
      </c>
      <c r="AH97" s="160">
        <v>81.74444444444444</v>
      </c>
      <c r="AI97" s="160">
        <v>910.30555555555554</v>
      </c>
      <c r="AJ97" s="160">
        <v>890.48333333333335</v>
      </c>
      <c r="AK97" s="160">
        <v>992.05</v>
      </c>
      <c r="AL97" s="161">
        <v>128.92777777777778</v>
      </c>
      <c r="AM97" s="161">
        <v>7.416666666666667</v>
      </c>
      <c r="AN97" s="161">
        <v>136.34444444444443</v>
      </c>
      <c r="AO97" s="161">
        <v>999.46666666666658</v>
      </c>
      <c r="AP97" s="162">
        <v>102</v>
      </c>
      <c r="AQ97" s="168">
        <v>103</v>
      </c>
      <c r="AR97" s="160">
        <v>106</v>
      </c>
      <c r="AS97" s="160">
        <v>105</v>
      </c>
      <c r="AT97" s="160">
        <v>107</v>
      </c>
      <c r="AU97" s="160">
        <v>104</v>
      </c>
      <c r="AV97" s="160">
        <v>104</v>
      </c>
      <c r="AW97" s="160">
        <v>110</v>
      </c>
      <c r="AX97" s="160">
        <v>108</v>
      </c>
      <c r="AY97" s="160">
        <v>62</v>
      </c>
      <c r="AZ97" s="160">
        <v>0</v>
      </c>
      <c r="BA97" s="160">
        <v>0</v>
      </c>
      <c r="BB97" s="160">
        <v>0</v>
      </c>
      <c r="BC97" s="160">
        <v>629</v>
      </c>
      <c r="BD97" s="160">
        <v>218</v>
      </c>
      <c r="BE97" s="160">
        <v>62</v>
      </c>
      <c r="BF97" s="160">
        <v>949</v>
      </c>
      <c r="BG97" s="160">
        <v>909</v>
      </c>
      <c r="BH97" s="160">
        <v>1011</v>
      </c>
      <c r="BI97" s="160">
        <v>0</v>
      </c>
      <c r="BJ97" s="160">
        <v>102</v>
      </c>
      <c r="BK97" s="160">
        <v>0</v>
      </c>
      <c r="BL97" s="160">
        <v>125</v>
      </c>
      <c r="BM97" s="160">
        <v>126</v>
      </c>
      <c r="BN97" s="162">
        <v>7</v>
      </c>
      <c r="BO97" s="162">
        <v>133</v>
      </c>
      <c r="BP97" s="162">
        <v>9</v>
      </c>
      <c r="BQ97" s="163">
        <v>7.5022907758094115E-2</v>
      </c>
      <c r="BR97" s="164">
        <v>53</v>
      </c>
      <c r="BS97" s="164">
        <v>53</v>
      </c>
      <c r="BT97" s="164">
        <v>52</v>
      </c>
      <c r="BU97" s="164">
        <v>53</v>
      </c>
      <c r="BV97" s="165">
        <v>0</v>
      </c>
      <c r="BW97" s="165">
        <v>0</v>
      </c>
      <c r="BX97" s="166">
        <v>0</v>
      </c>
      <c r="BY97" s="166">
        <v>98.088887999999997</v>
      </c>
      <c r="BZ97" s="166">
        <v>0</v>
      </c>
      <c r="CA97" s="166">
        <v>98.088888888888889</v>
      </c>
      <c r="CB97" s="166">
        <v>99.605555555555554</v>
      </c>
      <c r="CC97" s="166">
        <v>103.89444444444445</v>
      </c>
      <c r="CD97" s="166">
        <v>104.55555555555556</v>
      </c>
      <c r="CE97" s="166">
        <v>104.88333333333334</v>
      </c>
      <c r="CF97" s="166">
        <v>100.85555555555555</v>
      </c>
      <c r="CG97" s="166">
        <v>101.78333333333333</v>
      </c>
      <c r="CH97" s="166">
        <v>108.86111111111111</v>
      </c>
      <c r="CI97" s="166">
        <v>107.19444444444444</v>
      </c>
      <c r="CJ97" s="166">
        <v>60.605555555555554</v>
      </c>
      <c r="CK97" s="166">
        <v>0</v>
      </c>
      <c r="CL97" s="166">
        <v>0</v>
      </c>
      <c r="CM97" s="166">
        <v>0</v>
      </c>
      <c r="CN97" s="166">
        <v>615.57777777777778</v>
      </c>
      <c r="CO97" s="166">
        <v>216.05555555555554</v>
      </c>
      <c r="CP97" s="166">
        <v>60.605555555555554</v>
      </c>
      <c r="CQ97" s="166">
        <v>929.72222222222217</v>
      </c>
      <c r="CR97" s="166">
        <v>892.23888888888882</v>
      </c>
      <c r="CS97" s="166">
        <v>990.32777777777778</v>
      </c>
      <c r="CT97" s="166">
        <v>128.722222222222</v>
      </c>
      <c r="CU97" s="166">
        <v>7.3888888888888902</v>
      </c>
      <c r="CV97" s="166">
        <v>136.11111111111089</v>
      </c>
      <c r="CW97" s="166">
        <v>997.7166666666667</v>
      </c>
      <c r="CX97" s="166">
        <v>0</v>
      </c>
      <c r="CY97" s="166">
        <v>112</v>
      </c>
      <c r="CZ97" s="165">
        <v>16</v>
      </c>
      <c r="DA97" s="165">
        <v>128</v>
      </c>
      <c r="DB97" s="165">
        <v>122</v>
      </c>
      <c r="DC97" s="165">
        <v>104</v>
      </c>
      <c r="DD97" s="165">
        <v>106</v>
      </c>
      <c r="DE97" s="165">
        <v>107</v>
      </c>
      <c r="DF97" s="165">
        <v>112</v>
      </c>
      <c r="DG97" s="165">
        <v>103</v>
      </c>
      <c r="DH97" s="165">
        <v>104</v>
      </c>
      <c r="DI97" s="165">
        <v>101</v>
      </c>
      <c r="DJ97" s="165">
        <v>74</v>
      </c>
      <c r="DK97" s="165">
        <v>0</v>
      </c>
      <c r="DL97" s="165">
        <v>0</v>
      </c>
      <c r="DM97" s="165">
        <v>0</v>
      </c>
      <c r="DN97" s="165">
        <v>654</v>
      </c>
      <c r="DO97" s="165">
        <v>205</v>
      </c>
      <c r="DP97" s="165">
        <v>74</v>
      </c>
      <c r="DQ97" s="165">
        <v>987</v>
      </c>
      <c r="DR97" s="165">
        <v>933</v>
      </c>
      <c r="DS97" s="165">
        <v>1061</v>
      </c>
      <c r="DT97" s="165">
        <v>0</v>
      </c>
      <c r="DU97" s="165">
        <v>133</v>
      </c>
      <c r="DV97" s="165">
        <v>126</v>
      </c>
      <c r="DW97" s="165">
        <v>9</v>
      </c>
      <c r="DX97" s="165">
        <v>135</v>
      </c>
      <c r="DY97" s="165">
        <v>1070</v>
      </c>
      <c r="DZ97" s="165">
        <v>20</v>
      </c>
      <c r="EA97" s="166">
        <v>57</v>
      </c>
      <c r="EB97" s="166">
        <v>57</v>
      </c>
      <c r="EC97" s="166">
        <v>32.72</v>
      </c>
      <c r="ED97" s="166">
        <v>18.799999999999997</v>
      </c>
      <c r="EE97" s="166">
        <v>0</v>
      </c>
      <c r="EF97" s="166">
        <v>57</v>
      </c>
      <c r="EG97" s="167">
        <v>7.3463211651219995E-2</v>
      </c>
      <c r="EH97" s="165"/>
      <c r="EI97" s="165">
        <v>140</v>
      </c>
      <c r="EJ97" s="165">
        <v>1059</v>
      </c>
      <c r="EK97" s="165">
        <v>729</v>
      </c>
      <c r="EL97" s="165">
        <v>233</v>
      </c>
      <c r="EM97" s="165">
        <v>97</v>
      </c>
      <c r="EN97" s="165">
        <v>1199</v>
      </c>
      <c r="EO97" s="165">
        <v>0</v>
      </c>
      <c r="EP97" s="165">
        <v>134</v>
      </c>
      <c r="EQ97" s="165">
        <v>134</v>
      </c>
      <c r="ER97" s="165">
        <v>124</v>
      </c>
      <c r="ES97" s="165">
        <v>10</v>
      </c>
      <c r="ET97" s="165">
        <v>5</v>
      </c>
      <c r="EU97" s="166">
        <v>37.073</v>
      </c>
      <c r="EV97" s="166">
        <v>0</v>
      </c>
      <c r="EW97" s="166">
        <v>3.4980000000000002</v>
      </c>
      <c r="EX97" s="166">
        <v>0.98499999999999999</v>
      </c>
      <c r="EY97" s="166">
        <v>7.4870000000000001</v>
      </c>
      <c r="EZ97" s="166">
        <v>49.042999999999999</v>
      </c>
      <c r="FA97" s="166">
        <v>5.9222222222222225</v>
      </c>
      <c r="FB97" s="166">
        <v>118.08888888888889</v>
      </c>
      <c r="FC97" s="166">
        <v>124.01111111111111</v>
      </c>
      <c r="FD97" s="166">
        <v>118.5</v>
      </c>
      <c r="FE97" s="166">
        <v>98.177777777777777</v>
      </c>
      <c r="FF97" s="166">
        <v>103.25</v>
      </c>
      <c r="FG97" s="166">
        <v>106.32777777777778</v>
      </c>
      <c r="FH97" s="166">
        <v>110.12222222222222</v>
      </c>
      <c r="FI97" s="166">
        <v>97.833333333333329</v>
      </c>
      <c r="FJ97" s="166">
        <v>98.822222222222223</v>
      </c>
      <c r="FK97" s="166">
        <v>100.51111111111111</v>
      </c>
      <c r="FL97" s="166">
        <v>72.99444444444444</v>
      </c>
      <c r="FM97" s="166">
        <v>0</v>
      </c>
      <c r="FN97" s="166">
        <v>0</v>
      </c>
      <c r="FO97" s="166">
        <v>0</v>
      </c>
      <c r="FP97" s="166">
        <v>634.21111111111122</v>
      </c>
      <c r="FQ97" s="166">
        <v>199.33333333333331</v>
      </c>
      <c r="FR97" s="166">
        <v>72.99444444444444</v>
      </c>
      <c r="FS97" s="166">
        <v>957.55555555555554</v>
      </c>
      <c r="FT97" s="166">
        <v>906.53888888888889</v>
      </c>
      <c r="FU97" s="166">
        <v>1030.55</v>
      </c>
      <c r="FV97" s="166">
        <v>123.46111111111111</v>
      </c>
      <c r="FW97" s="166">
        <v>9.6722222222222225</v>
      </c>
      <c r="FX97" s="166">
        <v>133.13333333333333</v>
      </c>
      <c r="FY97" s="166">
        <v>1040.2222222222222</v>
      </c>
      <c r="FZ97" s="165">
        <v>12</v>
      </c>
      <c r="GA97" s="165">
        <v>112</v>
      </c>
      <c r="GB97" s="165">
        <v>124</v>
      </c>
      <c r="GC97" s="165">
        <v>123</v>
      </c>
      <c r="GD97" s="165">
        <v>124</v>
      </c>
      <c r="GE97" s="165">
        <v>107</v>
      </c>
      <c r="GF97" s="165">
        <v>112</v>
      </c>
      <c r="GG97" s="165">
        <v>110</v>
      </c>
      <c r="GH97" s="165">
        <v>108</v>
      </c>
      <c r="GI97" s="165">
        <v>101</v>
      </c>
      <c r="GJ97" s="165">
        <v>107</v>
      </c>
      <c r="GK97" s="165">
        <v>87</v>
      </c>
      <c r="GL97" s="165">
        <v>0</v>
      </c>
      <c r="GM97" s="165">
        <v>0</v>
      </c>
      <c r="GN97" s="165">
        <v>0</v>
      </c>
      <c r="GO97" s="165">
        <v>684</v>
      </c>
      <c r="GP97" s="165">
        <v>208</v>
      </c>
      <c r="GQ97" s="165">
        <v>87</v>
      </c>
      <c r="GR97" s="165">
        <v>1016</v>
      </c>
      <c r="GS97" s="165">
        <v>979</v>
      </c>
      <c r="GT97" s="165">
        <v>1103</v>
      </c>
      <c r="GU97" s="165">
        <v>0</v>
      </c>
      <c r="GV97" s="165">
        <v>135</v>
      </c>
      <c r="GW97" s="165">
        <v>130</v>
      </c>
      <c r="GX97" s="165">
        <v>10</v>
      </c>
      <c r="GY97" s="165">
        <v>140</v>
      </c>
      <c r="GZ97" s="165">
        <v>1113</v>
      </c>
      <c r="HA97" s="165">
        <v>27</v>
      </c>
      <c r="HB97" s="166">
        <v>56.48</v>
      </c>
      <c r="HC97" s="166">
        <v>56.48</v>
      </c>
      <c r="HD97" s="166">
        <v>33.200000000000003</v>
      </c>
      <c r="HE97" s="166">
        <v>18.799999999999997</v>
      </c>
      <c r="HF97" s="166"/>
      <c r="HG97" s="166">
        <v>56.48</v>
      </c>
      <c r="HH97" s="166">
        <v>0</v>
      </c>
      <c r="HI97" s="166">
        <v>130</v>
      </c>
      <c r="HJ97" s="166">
        <v>130</v>
      </c>
      <c r="HK97" s="166">
        <v>120</v>
      </c>
      <c r="HL97" s="166">
        <v>10</v>
      </c>
      <c r="HM97" s="166">
        <v>4</v>
      </c>
      <c r="HN97" s="166">
        <v>125</v>
      </c>
      <c r="HO97" s="166">
        <v>1038</v>
      </c>
      <c r="HP97" s="166">
        <v>700</v>
      </c>
      <c r="HQ97" s="166">
        <v>238</v>
      </c>
      <c r="HR97" s="166">
        <v>100</v>
      </c>
      <c r="HS97" s="166">
        <v>1163</v>
      </c>
      <c r="HT97" s="166">
        <f>FY26_FE_Data_April15[[#This Row],[Oct 1, 2026 (CDC) - K]]+FY26_FE_Data_April15[[#This Row],[Oct 1, 2026 (CDC) - Grades 1-6]]+FY26_FE_Data_April15[[#This Row],[Oct 1, 2026 (CDC) - Grades 7-8]]</f>
        <v>1063</v>
      </c>
      <c r="HU97" s="166">
        <v>0</v>
      </c>
      <c r="HW97" s="170"/>
      <c r="HY97" s="170"/>
    </row>
    <row r="98" spans="1:233" ht="26">
      <c r="A98" s="158" t="s">
        <v>506</v>
      </c>
      <c r="B98" s="159" t="s">
        <v>507</v>
      </c>
      <c r="C98" s="160" t="s">
        <v>508</v>
      </c>
      <c r="D98" s="160" t="s">
        <v>139</v>
      </c>
      <c r="E98" s="159" t="s">
        <v>784</v>
      </c>
      <c r="F98" s="159" t="s">
        <v>784</v>
      </c>
      <c r="G98" s="159"/>
      <c r="H98" s="161">
        <v>240.87222222222223</v>
      </c>
      <c r="I98" s="161">
        <v>11.472222222222221</v>
      </c>
      <c r="J98" s="161">
        <v>252.34444444444446</v>
      </c>
      <c r="K98" s="162">
        <v>178</v>
      </c>
      <c r="L98" s="162">
        <v>1123</v>
      </c>
      <c r="M98" s="162">
        <v>298</v>
      </c>
      <c r="N98" s="162">
        <v>141</v>
      </c>
      <c r="O98" s="162">
        <v>1740</v>
      </c>
      <c r="P98" s="162">
        <v>1562</v>
      </c>
      <c r="Q98" s="162">
        <v>1599</v>
      </c>
      <c r="R98" s="162">
        <v>11</v>
      </c>
      <c r="S98" s="160">
        <v>173.46111111111111</v>
      </c>
      <c r="T98" s="160">
        <v>170.79444444444445</v>
      </c>
      <c r="U98" s="160">
        <v>185.17777777777778</v>
      </c>
      <c r="V98" s="160">
        <v>184.12777777777777</v>
      </c>
      <c r="W98" s="160">
        <v>181.82777777777778</v>
      </c>
      <c r="X98" s="160">
        <v>183.34444444444443</v>
      </c>
      <c r="Y98" s="160">
        <v>201.17777777777778</v>
      </c>
      <c r="Z98" s="160">
        <v>150.44444444444446</v>
      </c>
      <c r="AA98" s="160">
        <v>143.31666666666666</v>
      </c>
      <c r="AB98" s="160">
        <v>137.03333333333333</v>
      </c>
      <c r="AC98" s="160">
        <v>0</v>
      </c>
      <c r="AD98" s="160">
        <v>0</v>
      </c>
      <c r="AE98" s="160">
        <v>0</v>
      </c>
      <c r="AF98" s="160">
        <v>1106.45</v>
      </c>
      <c r="AG98" s="160">
        <v>293.76111111111112</v>
      </c>
      <c r="AH98" s="160">
        <v>137.03333333333333</v>
      </c>
      <c r="AI98" s="160">
        <v>1573.672222222222</v>
      </c>
      <c r="AJ98" s="160">
        <v>1537.2444444444445</v>
      </c>
      <c r="AK98" s="160">
        <v>1710.7055555555553</v>
      </c>
      <c r="AL98" s="161">
        <v>276.07777777777778</v>
      </c>
      <c r="AM98" s="161">
        <v>8.2166666666666668</v>
      </c>
      <c r="AN98" s="161">
        <v>284.29444444444442</v>
      </c>
      <c r="AO98" s="161">
        <v>1718.922222222222</v>
      </c>
      <c r="AP98" s="162">
        <v>173</v>
      </c>
      <c r="AQ98" s="168">
        <v>177</v>
      </c>
      <c r="AR98" s="160">
        <v>185</v>
      </c>
      <c r="AS98" s="160">
        <v>188</v>
      </c>
      <c r="AT98" s="160">
        <v>187</v>
      </c>
      <c r="AU98" s="160">
        <v>185</v>
      </c>
      <c r="AV98" s="160">
        <v>191</v>
      </c>
      <c r="AW98" s="160">
        <v>168</v>
      </c>
      <c r="AX98" s="160">
        <v>146</v>
      </c>
      <c r="AY98" s="160">
        <v>140</v>
      </c>
      <c r="AZ98" s="160">
        <v>0</v>
      </c>
      <c r="BA98" s="160">
        <v>0</v>
      </c>
      <c r="BB98" s="160">
        <v>0</v>
      </c>
      <c r="BC98" s="160">
        <v>1113</v>
      </c>
      <c r="BD98" s="160">
        <v>314</v>
      </c>
      <c r="BE98" s="160">
        <v>140</v>
      </c>
      <c r="BF98" s="160">
        <v>1600</v>
      </c>
      <c r="BG98" s="160">
        <v>1567</v>
      </c>
      <c r="BH98" s="160">
        <v>1740</v>
      </c>
      <c r="BI98" s="160">
        <v>78</v>
      </c>
      <c r="BJ98" s="160">
        <v>95</v>
      </c>
      <c r="BK98" s="160">
        <v>0</v>
      </c>
      <c r="BL98" s="160">
        <v>306</v>
      </c>
      <c r="BM98" s="160">
        <v>307</v>
      </c>
      <c r="BN98" s="162">
        <v>8</v>
      </c>
      <c r="BO98" s="162">
        <v>315</v>
      </c>
      <c r="BP98" s="162">
        <v>15</v>
      </c>
      <c r="BQ98" s="163">
        <v>8.8459735960433772E-2</v>
      </c>
      <c r="BR98" s="164">
        <v>107.76899999999999</v>
      </c>
      <c r="BS98" s="164">
        <v>101.76899999999999</v>
      </c>
      <c r="BT98" s="164">
        <v>97.468999999999994</v>
      </c>
      <c r="BU98" s="164">
        <v>107.76899999999999</v>
      </c>
      <c r="BV98" s="165">
        <v>0</v>
      </c>
      <c r="BW98" s="165">
        <v>0</v>
      </c>
      <c r="BX98" s="166">
        <v>0</v>
      </c>
      <c r="BY98" s="166">
        <v>93.033332999999999</v>
      </c>
      <c r="BZ98" s="166">
        <v>74.05</v>
      </c>
      <c r="CA98" s="166">
        <v>167.08333333333334</v>
      </c>
      <c r="CB98" s="166">
        <v>175.75555555555556</v>
      </c>
      <c r="CC98" s="166">
        <v>177.7</v>
      </c>
      <c r="CD98" s="166">
        <v>181.52222222222221</v>
      </c>
      <c r="CE98" s="166">
        <v>183.94444444444446</v>
      </c>
      <c r="CF98" s="166">
        <v>181.89444444444445</v>
      </c>
      <c r="CG98" s="166">
        <v>186.42777777777778</v>
      </c>
      <c r="CH98" s="166">
        <v>167.10555555555555</v>
      </c>
      <c r="CI98" s="166">
        <v>144.72777777777779</v>
      </c>
      <c r="CJ98" s="166">
        <v>139.16666666666666</v>
      </c>
      <c r="CK98" s="166">
        <v>0</v>
      </c>
      <c r="CL98" s="166">
        <v>0</v>
      </c>
      <c r="CM98" s="166">
        <v>0</v>
      </c>
      <c r="CN98" s="166">
        <v>1087.2444444444443</v>
      </c>
      <c r="CO98" s="166">
        <v>311.83333333333337</v>
      </c>
      <c r="CP98" s="166">
        <v>139.16666666666666</v>
      </c>
      <c r="CQ98" s="166">
        <v>1566.1611111111113</v>
      </c>
      <c r="CR98" s="166">
        <v>1538.2444444444445</v>
      </c>
      <c r="CS98" s="166">
        <v>1705.327777777778</v>
      </c>
      <c r="CT98" s="166">
        <v>307.91666666666703</v>
      </c>
      <c r="CU98" s="166">
        <v>11.3722222222222</v>
      </c>
      <c r="CV98" s="166">
        <v>319.28888888888923</v>
      </c>
      <c r="CW98" s="166">
        <v>1716.7000000000003</v>
      </c>
      <c r="CX98" s="166">
        <v>0</v>
      </c>
      <c r="CY98" s="166">
        <v>128</v>
      </c>
      <c r="CZ98" s="165">
        <v>31</v>
      </c>
      <c r="DA98" s="165">
        <v>159</v>
      </c>
      <c r="DB98" s="165">
        <v>182</v>
      </c>
      <c r="DC98" s="165">
        <v>174</v>
      </c>
      <c r="DD98" s="165">
        <v>184</v>
      </c>
      <c r="DE98" s="165">
        <v>184</v>
      </c>
      <c r="DF98" s="165">
        <v>188</v>
      </c>
      <c r="DG98" s="165">
        <v>182</v>
      </c>
      <c r="DH98" s="165">
        <v>169</v>
      </c>
      <c r="DI98" s="165">
        <v>158</v>
      </c>
      <c r="DJ98" s="165">
        <v>138</v>
      </c>
      <c r="DK98" s="165">
        <v>0</v>
      </c>
      <c r="DL98" s="165">
        <v>0</v>
      </c>
      <c r="DM98" s="165">
        <v>0</v>
      </c>
      <c r="DN98" s="165">
        <v>1094</v>
      </c>
      <c r="DO98" s="165">
        <v>327</v>
      </c>
      <c r="DP98" s="165">
        <v>138</v>
      </c>
      <c r="DQ98" s="165">
        <v>1580</v>
      </c>
      <c r="DR98" s="165">
        <v>1559</v>
      </c>
      <c r="DS98" s="165">
        <v>1718</v>
      </c>
      <c r="DT98" s="165">
        <v>0</v>
      </c>
      <c r="DU98" s="165">
        <v>293</v>
      </c>
      <c r="DV98" s="165">
        <v>312</v>
      </c>
      <c r="DW98" s="165">
        <v>15</v>
      </c>
      <c r="DX98" s="165">
        <v>327</v>
      </c>
      <c r="DY98" s="165">
        <v>1733</v>
      </c>
      <c r="DZ98" s="165">
        <v>15</v>
      </c>
      <c r="EA98" s="166">
        <v>108.48399999999999</v>
      </c>
      <c r="EB98" s="166">
        <v>102.48399999999999</v>
      </c>
      <c r="EC98" s="166">
        <v>62.07</v>
      </c>
      <c r="ED98" s="166">
        <v>29.463999999999999</v>
      </c>
      <c r="EE98" s="166">
        <v>0</v>
      </c>
      <c r="EF98" s="166">
        <v>109.48400000000001</v>
      </c>
      <c r="EG98" s="167">
        <v>8.6687201232073852E-2</v>
      </c>
      <c r="EH98" s="165"/>
      <c r="EI98" s="165">
        <v>230</v>
      </c>
      <c r="EJ98" s="165">
        <v>1869</v>
      </c>
      <c r="EK98" s="165">
        <v>1466</v>
      </c>
      <c r="EL98" s="165">
        <v>283</v>
      </c>
      <c r="EM98" s="165">
        <v>120</v>
      </c>
      <c r="EN98" s="165">
        <v>2099</v>
      </c>
      <c r="EO98" s="165">
        <v>0</v>
      </c>
      <c r="EP98" s="165">
        <v>314</v>
      </c>
      <c r="EQ98" s="165">
        <v>314</v>
      </c>
      <c r="ER98" s="165">
        <v>303</v>
      </c>
      <c r="ES98" s="165">
        <v>11</v>
      </c>
      <c r="ET98" s="165">
        <v>7</v>
      </c>
      <c r="EU98" s="166">
        <v>61.662999999999997</v>
      </c>
      <c r="EV98" s="166">
        <v>0.72499999999999998</v>
      </c>
      <c r="EW98" s="166">
        <v>8.7249999999999996</v>
      </c>
      <c r="EX98" s="166">
        <v>0.875</v>
      </c>
      <c r="EY98" s="166">
        <v>24.55</v>
      </c>
      <c r="EZ98" s="166">
        <v>96.537999999999997</v>
      </c>
      <c r="FA98" s="166">
        <v>27.933333333333334</v>
      </c>
      <c r="FB98" s="166">
        <v>130.10555555555555</v>
      </c>
      <c r="FC98" s="166">
        <v>158.03888888888889</v>
      </c>
      <c r="FD98" s="166">
        <v>177.20555555555555</v>
      </c>
      <c r="FE98" s="166">
        <v>174.74444444444444</v>
      </c>
      <c r="FF98" s="166">
        <v>178.09444444444443</v>
      </c>
      <c r="FG98" s="166">
        <v>181.76666666666668</v>
      </c>
      <c r="FH98" s="166">
        <v>185.66666666666666</v>
      </c>
      <c r="FI98" s="166">
        <v>181.17222222222222</v>
      </c>
      <c r="FJ98" s="166">
        <v>165.54444444444445</v>
      </c>
      <c r="FK98" s="166">
        <v>155.26111111111112</v>
      </c>
      <c r="FL98" s="166">
        <v>136.25</v>
      </c>
      <c r="FM98" s="166">
        <v>0</v>
      </c>
      <c r="FN98" s="166">
        <v>0</v>
      </c>
      <c r="FO98" s="166">
        <v>0</v>
      </c>
      <c r="FP98" s="166">
        <v>1078.6500000000001</v>
      </c>
      <c r="FQ98" s="166">
        <v>320.80555555555554</v>
      </c>
      <c r="FR98" s="166">
        <v>136.25</v>
      </c>
      <c r="FS98" s="166">
        <v>1557.4944444444445</v>
      </c>
      <c r="FT98" s="166">
        <v>1535.7055555555557</v>
      </c>
      <c r="FU98" s="166">
        <v>1693.7444444444445</v>
      </c>
      <c r="FV98" s="166">
        <v>306.84444444444443</v>
      </c>
      <c r="FW98" s="166">
        <v>12.022222222222222</v>
      </c>
      <c r="FX98" s="166">
        <v>318.86666666666667</v>
      </c>
      <c r="FY98" s="166">
        <v>1705.7666666666667</v>
      </c>
      <c r="FZ98" s="165">
        <v>45</v>
      </c>
      <c r="GA98" s="165">
        <v>215</v>
      </c>
      <c r="GB98" s="165">
        <v>260</v>
      </c>
      <c r="GC98" s="165">
        <v>237</v>
      </c>
      <c r="GD98" s="165">
        <v>235</v>
      </c>
      <c r="GE98" s="165">
        <v>223</v>
      </c>
      <c r="GF98" s="165">
        <v>198</v>
      </c>
      <c r="GG98" s="165">
        <v>237</v>
      </c>
      <c r="GH98" s="165">
        <v>208</v>
      </c>
      <c r="GI98" s="165">
        <v>160</v>
      </c>
      <c r="GJ98" s="165">
        <v>150</v>
      </c>
      <c r="GK98" s="165">
        <v>142</v>
      </c>
      <c r="GL98" s="165">
        <v>0</v>
      </c>
      <c r="GM98" s="165">
        <v>0</v>
      </c>
      <c r="GN98" s="165">
        <v>0</v>
      </c>
      <c r="GO98" s="165">
        <v>1338</v>
      </c>
      <c r="GP98" s="165">
        <v>310</v>
      </c>
      <c r="GQ98" s="165">
        <v>142</v>
      </c>
      <c r="GR98" s="165">
        <v>1908</v>
      </c>
      <c r="GS98" s="165">
        <v>1790</v>
      </c>
      <c r="GT98" s="165">
        <v>2050</v>
      </c>
      <c r="GU98" s="165">
        <v>0</v>
      </c>
      <c r="GV98" s="165">
        <v>387</v>
      </c>
      <c r="GW98" s="165">
        <v>347</v>
      </c>
      <c r="GX98" s="165">
        <v>19</v>
      </c>
      <c r="GY98" s="165">
        <v>366</v>
      </c>
      <c r="GZ98" s="165">
        <v>2069</v>
      </c>
      <c r="HA98" s="165">
        <v>25</v>
      </c>
      <c r="HB98" s="166">
        <v>137.55099999999999</v>
      </c>
      <c r="HC98" s="166">
        <v>129.55099999999999</v>
      </c>
      <c r="HD98" s="166">
        <v>85.625</v>
      </c>
      <c r="HE98" s="166">
        <v>28.595999999999997</v>
      </c>
      <c r="HF98" s="166"/>
      <c r="HG98" s="166">
        <v>138.55099999999999</v>
      </c>
      <c r="HH98" s="166">
        <v>0</v>
      </c>
      <c r="HI98" s="166">
        <v>353</v>
      </c>
      <c r="HJ98" s="166">
        <v>353</v>
      </c>
      <c r="HK98" s="166">
        <v>338</v>
      </c>
      <c r="HL98" s="166">
        <v>15</v>
      </c>
      <c r="HM98" s="166">
        <v>2</v>
      </c>
      <c r="HN98" s="166">
        <v>270</v>
      </c>
      <c r="HO98" s="166">
        <v>1892</v>
      </c>
      <c r="HP98" s="166">
        <v>1622</v>
      </c>
      <c r="HQ98" s="166">
        <v>180</v>
      </c>
      <c r="HR98" s="166">
        <v>90</v>
      </c>
      <c r="HS98" s="166">
        <v>2162</v>
      </c>
      <c r="HT98" s="166">
        <f>FY26_FE_Data_April15[[#This Row],[Oct 1, 2026 (CDC) - K]]+FY26_FE_Data_April15[[#This Row],[Oct 1, 2026 (CDC) - Grades 1-6]]+FY26_FE_Data_April15[[#This Row],[Oct 1, 2026 (CDC) - Grades 7-8]]</f>
        <v>2072</v>
      </c>
      <c r="HU98" s="166">
        <v>0</v>
      </c>
      <c r="HW98" s="170"/>
      <c r="HY98" s="170"/>
    </row>
    <row r="99" spans="1:233" ht="39">
      <c r="A99" s="158" t="s">
        <v>509</v>
      </c>
      <c r="B99" s="159" t="s">
        <v>510</v>
      </c>
      <c r="C99" s="160" t="s">
        <v>511</v>
      </c>
      <c r="D99" s="160" t="s">
        <v>139</v>
      </c>
      <c r="E99" s="159" t="s">
        <v>784</v>
      </c>
      <c r="F99" s="159" t="s">
        <v>784</v>
      </c>
      <c r="G99" s="159"/>
      <c r="H99" s="161">
        <v>41.911111111111111</v>
      </c>
      <c r="I99" s="161">
        <v>3.6055555555555556</v>
      </c>
      <c r="J99" s="161">
        <v>45.516666666666666</v>
      </c>
      <c r="K99" s="162">
        <v>71</v>
      </c>
      <c r="L99" s="162">
        <v>308</v>
      </c>
      <c r="M99" s="162">
        <v>92</v>
      </c>
      <c r="N99" s="162">
        <v>0</v>
      </c>
      <c r="O99" s="162">
        <v>471</v>
      </c>
      <c r="P99" s="162">
        <v>400</v>
      </c>
      <c r="Q99" s="162">
        <v>471</v>
      </c>
      <c r="R99" s="162">
        <v>3</v>
      </c>
      <c r="S99" s="160">
        <v>69.794444444444451</v>
      </c>
      <c r="T99" s="160">
        <v>50.861111111111114</v>
      </c>
      <c r="U99" s="160">
        <v>53.611111111111114</v>
      </c>
      <c r="V99" s="160">
        <v>54.472222222222221</v>
      </c>
      <c r="W99" s="160">
        <v>43.005555555555553</v>
      </c>
      <c r="X99" s="160">
        <v>48.794444444444444</v>
      </c>
      <c r="Y99" s="160">
        <v>50.116666666666667</v>
      </c>
      <c r="Z99" s="160">
        <v>49.488888888888887</v>
      </c>
      <c r="AA99" s="160">
        <v>44.494444444444447</v>
      </c>
      <c r="AB99" s="160">
        <v>0</v>
      </c>
      <c r="AC99" s="160">
        <v>0</v>
      </c>
      <c r="AD99" s="160">
        <v>0</v>
      </c>
      <c r="AE99" s="160">
        <v>0</v>
      </c>
      <c r="AF99" s="160">
        <v>300.86111111111114</v>
      </c>
      <c r="AG99" s="160">
        <v>93.983333333333334</v>
      </c>
      <c r="AH99" s="160">
        <v>0</v>
      </c>
      <c r="AI99" s="160">
        <v>464.63888888888891</v>
      </c>
      <c r="AJ99" s="160">
        <v>394.84444444444449</v>
      </c>
      <c r="AK99" s="160">
        <v>464.63888888888891</v>
      </c>
      <c r="AL99" s="161">
        <v>40.594444444444441</v>
      </c>
      <c r="AM99" s="161">
        <v>3</v>
      </c>
      <c r="AN99" s="161">
        <v>43.594444444444441</v>
      </c>
      <c r="AO99" s="161">
        <v>467.63888888888891</v>
      </c>
      <c r="AP99" s="162">
        <v>55</v>
      </c>
      <c r="AQ99" s="168">
        <v>67</v>
      </c>
      <c r="AR99" s="160">
        <v>54</v>
      </c>
      <c r="AS99" s="160">
        <v>53</v>
      </c>
      <c r="AT99" s="160">
        <v>49</v>
      </c>
      <c r="AU99" s="160">
        <v>38</v>
      </c>
      <c r="AV99" s="160">
        <v>44</v>
      </c>
      <c r="AW99" s="160">
        <v>51</v>
      </c>
      <c r="AX99" s="160">
        <v>49</v>
      </c>
      <c r="AY99" s="160">
        <v>0</v>
      </c>
      <c r="AZ99" s="160">
        <v>0</v>
      </c>
      <c r="BA99" s="160">
        <v>0</v>
      </c>
      <c r="BB99" s="160">
        <v>0</v>
      </c>
      <c r="BC99" s="160">
        <v>305</v>
      </c>
      <c r="BD99" s="160">
        <v>100</v>
      </c>
      <c r="BE99" s="160">
        <v>0</v>
      </c>
      <c r="BF99" s="160">
        <v>460</v>
      </c>
      <c r="BG99" s="160">
        <v>405</v>
      </c>
      <c r="BH99" s="160">
        <v>460</v>
      </c>
      <c r="BI99" s="160">
        <v>55</v>
      </c>
      <c r="BJ99" s="160">
        <v>0</v>
      </c>
      <c r="BK99" s="160">
        <v>0</v>
      </c>
      <c r="BL99" s="160">
        <v>365</v>
      </c>
      <c r="BM99" s="160">
        <v>36</v>
      </c>
      <c r="BN99" s="162">
        <v>2</v>
      </c>
      <c r="BO99" s="162">
        <v>38</v>
      </c>
      <c r="BP99" s="162">
        <v>187</v>
      </c>
      <c r="BQ99" s="163">
        <v>3.2738095238095177E-2</v>
      </c>
      <c r="BR99" s="164">
        <v>21</v>
      </c>
      <c r="BS99" s="164">
        <v>20</v>
      </c>
      <c r="BT99" s="164">
        <v>20</v>
      </c>
      <c r="BU99" s="164">
        <v>26</v>
      </c>
      <c r="BV99" s="165">
        <v>0</v>
      </c>
      <c r="BW99" s="165">
        <v>0</v>
      </c>
      <c r="BX99" s="166">
        <v>0</v>
      </c>
      <c r="BY99" s="166">
        <v>0.105555</v>
      </c>
      <c r="BZ99" s="166">
        <v>55.116666000000002</v>
      </c>
      <c r="CA99" s="166">
        <v>55.222222222222221</v>
      </c>
      <c r="CB99" s="166">
        <v>67.661111111111111</v>
      </c>
      <c r="CC99" s="166">
        <v>50.072222222222223</v>
      </c>
      <c r="CD99" s="166">
        <v>52.31111111111111</v>
      </c>
      <c r="CE99" s="166">
        <v>46.37222222222222</v>
      </c>
      <c r="CF99" s="166">
        <v>39.483333333333334</v>
      </c>
      <c r="CG99" s="166">
        <v>44.338888888888889</v>
      </c>
      <c r="CH99" s="166">
        <v>47.366666666666667</v>
      </c>
      <c r="CI99" s="166">
        <v>44.577777777777776</v>
      </c>
      <c r="CJ99" s="166">
        <v>0</v>
      </c>
      <c r="CK99" s="166">
        <v>0</v>
      </c>
      <c r="CL99" s="166">
        <v>0</v>
      </c>
      <c r="CM99" s="166">
        <v>0</v>
      </c>
      <c r="CN99" s="166">
        <v>300.23888888888894</v>
      </c>
      <c r="CO99" s="166">
        <v>91.944444444444443</v>
      </c>
      <c r="CP99" s="166">
        <v>0</v>
      </c>
      <c r="CQ99" s="166">
        <v>447.40555555555557</v>
      </c>
      <c r="CR99" s="166">
        <v>392.18333333333339</v>
      </c>
      <c r="CS99" s="166">
        <v>447.40555555555557</v>
      </c>
      <c r="CT99" s="166">
        <v>40.938888888888897</v>
      </c>
      <c r="CU99" s="166">
        <v>2</v>
      </c>
      <c r="CV99" s="166">
        <v>42.938888888888897</v>
      </c>
      <c r="CW99" s="166">
        <v>449.40555555555557</v>
      </c>
      <c r="CX99" s="166">
        <v>0</v>
      </c>
      <c r="CY99" s="166">
        <v>54</v>
      </c>
      <c r="CZ99" s="165">
        <v>0</v>
      </c>
      <c r="DA99" s="165">
        <v>54</v>
      </c>
      <c r="DB99" s="165">
        <v>62</v>
      </c>
      <c r="DC99" s="165">
        <v>62</v>
      </c>
      <c r="DD99" s="165">
        <v>48</v>
      </c>
      <c r="DE99" s="165">
        <v>50</v>
      </c>
      <c r="DF99" s="165">
        <v>41</v>
      </c>
      <c r="DG99" s="165">
        <v>35</v>
      </c>
      <c r="DH99" s="165">
        <v>43</v>
      </c>
      <c r="DI99" s="165">
        <v>39</v>
      </c>
      <c r="DJ99" s="165">
        <v>0</v>
      </c>
      <c r="DK99" s="165">
        <v>0</v>
      </c>
      <c r="DL99" s="165">
        <v>0</v>
      </c>
      <c r="DM99" s="165">
        <v>0</v>
      </c>
      <c r="DN99" s="165">
        <v>298</v>
      </c>
      <c r="DO99" s="165">
        <v>82</v>
      </c>
      <c r="DP99" s="165">
        <v>0</v>
      </c>
      <c r="DQ99" s="165">
        <v>434</v>
      </c>
      <c r="DR99" s="165">
        <v>380</v>
      </c>
      <c r="DS99" s="165">
        <v>434</v>
      </c>
      <c r="DT99" s="165">
        <v>0</v>
      </c>
      <c r="DU99" s="165">
        <v>274</v>
      </c>
      <c r="DV99" s="165">
        <v>34</v>
      </c>
      <c r="DW99" s="165">
        <v>2</v>
      </c>
      <c r="DX99" s="165">
        <v>36</v>
      </c>
      <c r="DY99" s="165">
        <v>436</v>
      </c>
      <c r="DZ99" s="165">
        <v>175</v>
      </c>
      <c r="EA99" s="166">
        <v>24</v>
      </c>
      <c r="EB99" s="166">
        <v>23</v>
      </c>
      <c r="EC99" s="166">
        <v>14.82</v>
      </c>
      <c r="ED99" s="166">
        <v>5.85</v>
      </c>
      <c r="EE99" s="166">
        <v>0</v>
      </c>
      <c r="EF99" s="166">
        <v>26</v>
      </c>
      <c r="EG99" s="167">
        <v>4.9999999999999989E-2</v>
      </c>
      <c r="EH99" s="165"/>
      <c r="EI99" s="165">
        <v>64</v>
      </c>
      <c r="EJ99" s="165">
        <v>369</v>
      </c>
      <c r="EK99" s="165">
        <v>285</v>
      </c>
      <c r="EL99" s="165">
        <v>84</v>
      </c>
      <c r="EM99" s="165">
        <v>0</v>
      </c>
      <c r="EN99" s="165">
        <v>433</v>
      </c>
      <c r="EO99" s="165">
        <v>0</v>
      </c>
      <c r="EP99" s="165">
        <v>40</v>
      </c>
      <c r="EQ99" s="165">
        <v>40</v>
      </c>
      <c r="ER99" s="165">
        <v>37</v>
      </c>
      <c r="ES99" s="165">
        <v>3</v>
      </c>
      <c r="ET99" s="165">
        <v>12</v>
      </c>
      <c r="EU99" s="166">
        <v>16.600000000000001</v>
      </c>
      <c r="EV99" s="166">
        <v>0</v>
      </c>
      <c r="EW99" s="166">
        <v>2.75</v>
      </c>
      <c r="EX99" s="166">
        <v>0</v>
      </c>
      <c r="EY99" s="166">
        <v>6.35</v>
      </c>
      <c r="EZ99" s="166">
        <v>25.700000000000003</v>
      </c>
      <c r="FA99" s="166">
        <v>0</v>
      </c>
      <c r="FB99" s="166">
        <v>50.955555555555556</v>
      </c>
      <c r="FC99" s="166">
        <v>50.955555555555556</v>
      </c>
      <c r="FD99" s="166">
        <v>56.105555555555554</v>
      </c>
      <c r="FE99" s="166">
        <v>60.855555555555554</v>
      </c>
      <c r="FF99" s="166">
        <v>46.06666666666667</v>
      </c>
      <c r="FG99" s="166">
        <v>48.366666666666667</v>
      </c>
      <c r="FH99" s="166">
        <v>39.65</v>
      </c>
      <c r="FI99" s="166">
        <v>35.222222222222221</v>
      </c>
      <c r="FJ99" s="166">
        <v>40.572222222222223</v>
      </c>
      <c r="FK99" s="166">
        <v>39.594444444444441</v>
      </c>
      <c r="FL99" s="166">
        <v>0</v>
      </c>
      <c r="FM99" s="166">
        <v>0</v>
      </c>
      <c r="FN99" s="166">
        <v>0</v>
      </c>
      <c r="FO99" s="166">
        <v>0</v>
      </c>
      <c r="FP99" s="166">
        <v>286.26666666666665</v>
      </c>
      <c r="FQ99" s="166">
        <v>80.166666666666657</v>
      </c>
      <c r="FR99" s="166">
        <v>0</v>
      </c>
      <c r="FS99" s="166">
        <v>417.3888888888888</v>
      </c>
      <c r="FT99" s="166">
        <v>366.43333333333328</v>
      </c>
      <c r="FU99" s="166">
        <v>417.3888888888888</v>
      </c>
      <c r="FV99" s="166">
        <v>31.222222222222221</v>
      </c>
      <c r="FW99" s="166">
        <v>2.6</v>
      </c>
      <c r="FX99" s="166">
        <v>33.822222222222223</v>
      </c>
      <c r="FY99" s="166">
        <v>419.98888888888882</v>
      </c>
      <c r="FZ99" s="165">
        <v>0</v>
      </c>
      <c r="GA99" s="165">
        <v>48</v>
      </c>
      <c r="GB99" s="165">
        <v>48</v>
      </c>
      <c r="GC99" s="165">
        <v>52</v>
      </c>
      <c r="GD99" s="165">
        <v>63</v>
      </c>
      <c r="GE99" s="165">
        <v>53</v>
      </c>
      <c r="GF99" s="165">
        <v>50</v>
      </c>
      <c r="GG99" s="165">
        <v>41</v>
      </c>
      <c r="GH99" s="165">
        <v>38</v>
      </c>
      <c r="GI99" s="165">
        <v>32</v>
      </c>
      <c r="GJ99" s="165">
        <v>38</v>
      </c>
      <c r="GK99" s="165">
        <v>0</v>
      </c>
      <c r="GL99" s="165">
        <v>0</v>
      </c>
      <c r="GM99" s="165">
        <v>0</v>
      </c>
      <c r="GN99" s="165">
        <v>0</v>
      </c>
      <c r="GO99" s="165">
        <v>297</v>
      </c>
      <c r="GP99" s="165">
        <v>70</v>
      </c>
      <c r="GQ99" s="165">
        <v>0</v>
      </c>
      <c r="GR99" s="165">
        <v>415</v>
      </c>
      <c r="GS99" s="165">
        <v>367</v>
      </c>
      <c r="GT99" s="165">
        <v>415</v>
      </c>
      <c r="GU99" s="165">
        <v>0</v>
      </c>
      <c r="GV99" s="165">
        <v>94</v>
      </c>
      <c r="GW99" s="165">
        <v>41</v>
      </c>
      <c r="GX99" s="165">
        <v>5</v>
      </c>
      <c r="GY99" s="165">
        <v>46</v>
      </c>
      <c r="GZ99" s="165">
        <v>420</v>
      </c>
      <c r="HA99" s="165">
        <v>202</v>
      </c>
      <c r="HB99" s="166">
        <v>22.99</v>
      </c>
      <c r="HC99" s="166">
        <v>22</v>
      </c>
      <c r="HD99" s="166">
        <v>16.329999999999998</v>
      </c>
      <c r="HE99" s="166">
        <v>5.34</v>
      </c>
      <c r="HF99" s="166"/>
      <c r="HG99" s="166">
        <v>23.99</v>
      </c>
      <c r="HH99" s="166">
        <v>0</v>
      </c>
      <c r="HI99" s="166">
        <v>48</v>
      </c>
      <c r="HJ99" s="166">
        <v>48</v>
      </c>
      <c r="HK99" s="166">
        <v>44</v>
      </c>
      <c r="HL99" s="166">
        <v>4</v>
      </c>
      <c r="HM99" s="166">
        <v>7</v>
      </c>
      <c r="HN99" s="166">
        <v>54</v>
      </c>
      <c r="HO99" s="166">
        <v>372</v>
      </c>
      <c r="HP99" s="166">
        <v>294</v>
      </c>
      <c r="HQ99" s="166">
        <v>78</v>
      </c>
      <c r="HR99" s="166">
        <v>0</v>
      </c>
      <c r="HS99" s="166">
        <v>426</v>
      </c>
      <c r="HT99" s="166">
        <f>FY26_FE_Data_April15[[#This Row],[Oct 1, 2026 (CDC) - K]]+FY26_FE_Data_April15[[#This Row],[Oct 1, 2026 (CDC) - Grades 1-6]]+FY26_FE_Data_April15[[#This Row],[Oct 1, 2026 (CDC) - Grades 7-8]]</f>
        <v>426</v>
      </c>
      <c r="HU99" s="166">
        <v>0</v>
      </c>
      <c r="HW99" s="170"/>
      <c r="HY99" s="170"/>
    </row>
    <row r="100" spans="1:233" ht="39">
      <c r="A100" s="158" t="s">
        <v>512</v>
      </c>
      <c r="B100" s="159" t="s">
        <v>513</v>
      </c>
      <c r="C100" s="160" t="s">
        <v>514</v>
      </c>
      <c r="D100" s="160" t="s">
        <v>139</v>
      </c>
      <c r="E100" s="159" t="s">
        <v>784</v>
      </c>
      <c r="F100" s="159" t="s">
        <v>784</v>
      </c>
      <c r="G100" s="159"/>
      <c r="H100" s="161">
        <v>48.266666666666666</v>
      </c>
      <c r="I100" s="161">
        <v>5.7</v>
      </c>
      <c r="J100" s="161">
        <v>53.966666666666669</v>
      </c>
      <c r="K100" s="162">
        <v>0</v>
      </c>
      <c r="L100" s="162">
        <v>0</v>
      </c>
      <c r="M100" s="162">
        <v>0</v>
      </c>
      <c r="N100" s="162">
        <v>342</v>
      </c>
      <c r="O100" s="162">
        <v>342</v>
      </c>
      <c r="P100" s="162">
        <v>342</v>
      </c>
      <c r="Q100" s="162">
        <v>0</v>
      </c>
      <c r="R100" s="162">
        <v>16</v>
      </c>
      <c r="S100" s="160">
        <v>0</v>
      </c>
      <c r="T100" s="160">
        <v>0</v>
      </c>
      <c r="U100" s="160">
        <v>0</v>
      </c>
      <c r="V100" s="160">
        <v>0</v>
      </c>
      <c r="W100" s="160">
        <v>0</v>
      </c>
      <c r="X100" s="160">
        <v>0</v>
      </c>
      <c r="Y100" s="160">
        <v>0</v>
      </c>
      <c r="Z100" s="160">
        <v>0</v>
      </c>
      <c r="AA100" s="160">
        <v>0</v>
      </c>
      <c r="AB100" s="160">
        <v>85.077777777777783</v>
      </c>
      <c r="AC100" s="160">
        <v>89.533333333333331</v>
      </c>
      <c r="AD100" s="160">
        <v>74.322222222222223</v>
      </c>
      <c r="AE100" s="160">
        <v>69.211111111111109</v>
      </c>
      <c r="AF100" s="160">
        <v>0</v>
      </c>
      <c r="AG100" s="160">
        <v>0</v>
      </c>
      <c r="AH100" s="160">
        <v>318.14444444444445</v>
      </c>
      <c r="AI100" s="160">
        <v>0</v>
      </c>
      <c r="AJ100" s="160">
        <v>318.14444444444445</v>
      </c>
      <c r="AK100" s="160">
        <v>318.14444444444445</v>
      </c>
      <c r="AL100" s="161">
        <v>46.005555555555553</v>
      </c>
      <c r="AM100" s="161">
        <v>17.172222222222221</v>
      </c>
      <c r="AN100" s="161">
        <v>63.177777777777777</v>
      </c>
      <c r="AO100" s="161">
        <v>335.31666666666666</v>
      </c>
      <c r="AP100" s="162">
        <v>0</v>
      </c>
      <c r="AQ100" s="168">
        <v>0</v>
      </c>
      <c r="AR100" s="160">
        <v>0</v>
      </c>
      <c r="AS100" s="160">
        <v>0</v>
      </c>
      <c r="AT100" s="160">
        <v>0</v>
      </c>
      <c r="AU100" s="160">
        <v>0</v>
      </c>
      <c r="AV100" s="160">
        <v>0</v>
      </c>
      <c r="AW100" s="160">
        <v>0</v>
      </c>
      <c r="AX100" s="160">
        <v>0</v>
      </c>
      <c r="AY100" s="160">
        <v>104</v>
      </c>
      <c r="AZ100" s="160">
        <v>99</v>
      </c>
      <c r="BA100" s="160">
        <v>83</v>
      </c>
      <c r="BB100" s="160">
        <v>75</v>
      </c>
      <c r="BC100" s="160">
        <v>0</v>
      </c>
      <c r="BD100" s="160">
        <v>0</v>
      </c>
      <c r="BE100" s="160">
        <v>361</v>
      </c>
      <c r="BF100" s="160">
        <v>0</v>
      </c>
      <c r="BG100" s="160">
        <v>361</v>
      </c>
      <c r="BH100" s="160">
        <v>361</v>
      </c>
      <c r="BI100" s="160">
        <v>0</v>
      </c>
      <c r="BJ100" s="160">
        <v>0</v>
      </c>
      <c r="BK100" s="160">
        <v>2</v>
      </c>
      <c r="BL100" s="160">
        <v>170</v>
      </c>
      <c r="BM100" s="160">
        <v>52</v>
      </c>
      <c r="BN100" s="162">
        <v>16</v>
      </c>
      <c r="BO100" s="162">
        <v>68</v>
      </c>
      <c r="BP100" s="162">
        <v>50</v>
      </c>
      <c r="BQ100" s="163">
        <v>9.7908447142134536E-2</v>
      </c>
      <c r="BR100" s="164">
        <v>25.69</v>
      </c>
      <c r="BS100" s="164">
        <v>24.69</v>
      </c>
      <c r="BT100" s="164">
        <v>24.69</v>
      </c>
      <c r="BU100" s="164">
        <v>25.690000000000005</v>
      </c>
      <c r="BV100" s="165">
        <v>0</v>
      </c>
      <c r="BW100" s="165">
        <v>0</v>
      </c>
      <c r="BX100" s="166">
        <v>0</v>
      </c>
      <c r="BY100" s="166">
        <v>0</v>
      </c>
      <c r="BZ100" s="166">
        <v>0</v>
      </c>
      <c r="CA100" s="166">
        <v>0</v>
      </c>
      <c r="CB100" s="166">
        <v>0</v>
      </c>
      <c r="CC100" s="166">
        <v>0</v>
      </c>
      <c r="CD100" s="166">
        <v>0</v>
      </c>
      <c r="CE100" s="166">
        <v>0</v>
      </c>
      <c r="CF100" s="166">
        <v>0</v>
      </c>
      <c r="CG100" s="166">
        <v>0</v>
      </c>
      <c r="CH100" s="166">
        <v>0</v>
      </c>
      <c r="CI100" s="166">
        <v>0</v>
      </c>
      <c r="CJ100" s="166">
        <v>100.57777777777778</v>
      </c>
      <c r="CK100" s="166">
        <v>85.327777777777783</v>
      </c>
      <c r="CL100" s="166">
        <v>82.25555555555556</v>
      </c>
      <c r="CM100" s="166">
        <v>71.416666666666671</v>
      </c>
      <c r="CN100" s="166">
        <v>0</v>
      </c>
      <c r="CO100" s="166">
        <v>0</v>
      </c>
      <c r="CP100" s="166">
        <v>339.57777777777784</v>
      </c>
      <c r="CQ100" s="166">
        <v>0</v>
      </c>
      <c r="CR100" s="166">
        <v>339.57777777777784</v>
      </c>
      <c r="CS100" s="166">
        <v>339.57777777777784</v>
      </c>
      <c r="CT100" s="166">
        <v>54.855555555555597</v>
      </c>
      <c r="CU100" s="166">
        <v>13.5833333333333</v>
      </c>
      <c r="CV100" s="166">
        <v>68.438888888888897</v>
      </c>
      <c r="CW100" s="166">
        <v>353.16111111111115</v>
      </c>
      <c r="CX100" s="166">
        <v>0</v>
      </c>
      <c r="CY100" s="166">
        <v>0</v>
      </c>
      <c r="CZ100" s="165">
        <v>0</v>
      </c>
      <c r="DA100" s="165">
        <v>0</v>
      </c>
      <c r="DB100" s="165">
        <v>0</v>
      </c>
      <c r="DC100" s="165">
        <v>0</v>
      </c>
      <c r="DD100" s="165">
        <v>0</v>
      </c>
      <c r="DE100" s="165">
        <v>0</v>
      </c>
      <c r="DF100" s="165">
        <v>0</v>
      </c>
      <c r="DG100" s="165">
        <v>0</v>
      </c>
      <c r="DH100" s="165">
        <v>0</v>
      </c>
      <c r="DI100" s="165">
        <v>0</v>
      </c>
      <c r="DJ100" s="165">
        <v>100</v>
      </c>
      <c r="DK100" s="165">
        <v>97</v>
      </c>
      <c r="DL100" s="165">
        <v>88</v>
      </c>
      <c r="DM100" s="165">
        <v>81</v>
      </c>
      <c r="DN100" s="165">
        <v>0</v>
      </c>
      <c r="DO100" s="165">
        <v>0</v>
      </c>
      <c r="DP100" s="165">
        <v>366</v>
      </c>
      <c r="DQ100" s="165">
        <v>0</v>
      </c>
      <c r="DR100" s="165">
        <v>366</v>
      </c>
      <c r="DS100" s="165">
        <v>366</v>
      </c>
      <c r="DT100" s="165">
        <v>2</v>
      </c>
      <c r="DU100" s="165">
        <v>166</v>
      </c>
      <c r="DV100" s="165">
        <v>77</v>
      </c>
      <c r="DW100" s="165">
        <v>7</v>
      </c>
      <c r="DX100" s="165">
        <v>84</v>
      </c>
      <c r="DY100" s="165">
        <v>373</v>
      </c>
      <c r="DZ100" s="165">
        <v>64</v>
      </c>
      <c r="EA100" s="166">
        <v>27.27</v>
      </c>
      <c r="EB100" s="166">
        <v>26.27</v>
      </c>
      <c r="EC100" s="166">
        <v>0</v>
      </c>
      <c r="ED100" s="166">
        <v>21.878999999999998</v>
      </c>
      <c r="EE100" s="166">
        <v>0</v>
      </c>
      <c r="EF100" s="166">
        <v>27.27</v>
      </c>
      <c r="EG100" s="167">
        <v>0.10012541888917537</v>
      </c>
      <c r="EH100" s="165"/>
      <c r="EI100" s="165">
        <v>0</v>
      </c>
      <c r="EJ100" s="165">
        <v>365</v>
      </c>
      <c r="EK100" s="165">
        <v>0</v>
      </c>
      <c r="EL100" s="165">
        <v>0</v>
      </c>
      <c r="EM100" s="165">
        <v>365</v>
      </c>
      <c r="EN100" s="165">
        <v>365</v>
      </c>
      <c r="EO100" s="165">
        <v>0</v>
      </c>
      <c r="EP100" s="165">
        <v>79</v>
      </c>
      <c r="EQ100" s="165">
        <v>79</v>
      </c>
      <c r="ER100" s="165">
        <v>72</v>
      </c>
      <c r="ES100" s="165">
        <v>7</v>
      </c>
      <c r="ET100" s="165">
        <v>0</v>
      </c>
      <c r="EU100" s="166">
        <v>4</v>
      </c>
      <c r="EV100" s="166">
        <v>0</v>
      </c>
      <c r="EW100" s="166">
        <v>2.39</v>
      </c>
      <c r="EX100" s="166">
        <v>1</v>
      </c>
      <c r="EY100" s="166">
        <v>6</v>
      </c>
      <c r="EZ100" s="166">
        <v>13.39</v>
      </c>
      <c r="FA100" s="166">
        <v>0</v>
      </c>
      <c r="FB100" s="166">
        <v>0</v>
      </c>
      <c r="FC100" s="166">
        <v>0</v>
      </c>
      <c r="FD100" s="166">
        <v>0</v>
      </c>
      <c r="FE100" s="166">
        <v>0</v>
      </c>
      <c r="FF100" s="166">
        <v>0</v>
      </c>
      <c r="FG100" s="166">
        <v>0</v>
      </c>
      <c r="FH100" s="166">
        <v>0</v>
      </c>
      <c r="FI100" s="166">
        <v>0</v>
      </c>
      <c r="FJ100" s="166">
        <v>0</v>
      </c>
      <c r="FK100" s="166">
        <v>0</v>
      </c>
      <c r="FL100" s="166">
        <v>91.233333333333334</v>
      </c>
      <c r="FM100" s="166">
        <v>92.977777777777774</v>
      </c>
      <c r="FN100" s="166">
        <v>85.288888888888891</v>
      </c>
      <c r="FO100" s="166">
        <v>80.272222222222226</v>
      </c>
      <c r="FP100" s="166">
        <v>0</v>
      </c>
      <c r="FQ100" s="166">
        <v>0</v>
      </c>
      <c r="FR100" s="166">
        <v>349.77222222222224</v>
      </c>
      <c r="FS100" s="166">
        <v>0</v>
      </c>
      <c r="FT100" s="166">
        <v>349.77222222222224</v>
      </c>
      <c r="FU100" s="166">
        <v>349.77222222222224</v>
      </c>
      <c r="FV100" s="166">
        <v>70.677777777777777</v>
      </c>
      <c r="FW100" s="166">
        <v>7</v>
      </c>
      <c r="FX100" s="166">
        <v>77.677777777777777</v>
      </c>
      <c r="FY100" s="166">
        <v>356.77222222222224</v>
      </c>
      <c r="FZ100" s="165">
        <v>0</v>
      </c>
      <c r="GA100" s="165">
        <v>0</v>
      </c>
      <c r="GB100" s="165">
        <v>0</v>
      </c>
      <c r="GC100" s="165">
        <v>0</v>
      </c>
      <c r="GD100" s="165">
        <v>0</v>
      </c>
      <c r="GE100" s="165">
        <v>0</v>
      </c>
      <c r="GF100" s="165">
        <v>0</v>
      </c>
      <c r="GG100" s="165">
        <v>0</v>
      </c>
      <c r="GH100" s="165">
        <v>0</v>
      </c>
      <c r="GI100" s="165">
        <v>0</v>
      </c>
      <c r="GJ100" s="165">
        <v>0</v>
      </c>
      <c r="GK100" s="165">
        <v>106</v>
      </c>
      <c r="GL100" s="165">
        <v>89</v>
      </c>
      <c r="GM100" s="165">
        <v>82</v>
      </c>
      <c r="GN100" s="165">
        <v>69</v>
      </c>
      <c r="GO100" s="165">
        <v>0</v>
      </c>
      <c r="GP100" s="165">
        <v>0</v>
      </c>
      <c r="GQ100" s="165">
        <v>346</v>
      </c>
      <c r="GR100" s="165">
        <v>0</v>
      </c>
      <c r="GS100" s="165">
        <v>346</v>
      </c>
      <c r="GT100" s="165">
        <v>346</v>
      </c>
      <c r="GU100" s="165">
        <v>0</v>
      </c>
      <c r="GV100" s="165">
        <v>132</v>
      </c>
      <c r="GW100" s="165">
        <v>67</v>
      </c>
      <c r="GX100" s="165">
        <v>10</v>
      </c>
      <c r="GY100" s="165">
        <v>77</v>
      </c>
      <c r="GZ100" s="165">
        <v>356</v>
      </c>
      <c r="HA100" s="165">
        <v>59</v>
      </c>
      <c r="HB100" s="166">
        <v>25.67</v>
      </c>
      <c r="HC100" s="166">
        <v>24.67</v>
      </c>
      <c r="HD100" s="166">
        <v>0</v>
      </c>
      <c r="HE100" s="166">
        <v>19.5</v>
      </c>
      <c r="HF100" s="166"/>
      <c r="HG100" s="166">
        <v>25.67</v>
      </c>
      <c r="HH100" s="166">
        <v>0</v>
      </c>
      <c r="HI100" s="166">
        <v>77</v>
      </c>
      <c r="HJ100" s="166">
        <v>77</v>
      </c>
      <c r="HK100" s="166">
        <v>67</v>
      </c>
      <c r="HL100" s="166">
        <v>10</v>
      </c>
      <c r="HM100" s="166">
        <v>0</v>
      </c>
      <c r="HN100" s="166">
        <v>0</v>
      </c>
      <c r="HO100" s="166">
        <v>356</v>
      </c>
      <c r="HP100" s="166">
        <v>0</v>
      </c>
      <c r="HQ100" s="166">
        <v>0</v>
      </c>
      <c r="HR100" s="166">
        <v>356</v>
      </c>
      <c r="HS100" s="166">
        <v>356</v>
      </c>
      <c r="HT100" s="166">
        <f>FY26_FE_Data_April15[[#This Row],[Oct 1, 2026 (CDC) - K]]+FY26_FE_Data_April15[[#This Row],[Oct 1, 2026 (CDC) - Grades 1-6]]+FY26_FE_Data_April15[[#This Row],[Oct 1, 2026 (CDC) - Grades 7-8]]</f>
        <v>0</v>
      </c>
      <c r="HU100" s="166">
        <v>0</v>
      </c>
      <c r="HW100" s="170"/>
      <c r="HY100" s="170"/>
    </row>
    <row r="101" spans="1:233" ht="39">
      <c r="A101" s="158" t="s">
        <v>515</v>
      </c>
      <c r="B101" s="159" t="s">
        <v>516</v>
      </c>
      <c r="C101" s="160" t="s">
        <v>517</v>
      </c>
      <c r="D101" s="160" t="s">
        <v>139</v>
      </c>
      <c r="E101" s="159" t="s">
        <v>784</v>
      </c>
      <c r="F101" s="159" t="s">
        <v>784</v>
      </c>
      <c r="G101" s="159"/>
      <c r="H101" s="161">
        <v>65.483333333333334</v>
      </c>
      <c r="I101" s="161">
        <v>3.4555555555555557</v>
      </c>
      <c r="J101" s="161">
        <v>68.938888888888897</v>
      </c>
      <c r="K101" s="162">
        <v>52</v>
      </c>
      <c r="L101" s="162">
        <v>255</v>
      </c>
      <c r="M101" s="162">
        <v>49</v>
      </c>
      <c r="N101" s="162">
        <v>23</v>
      </c>
      <c r="O101" s="162">
        <v>379</v>
      </c>
      <c r="P101" s="162">
        <v>327</v>
      </c>
      <c r="Q101" s="162">
        <v>356</v>
      </c>
      <c r="R101" s="162">
        <v>3</v>
      </c>
      <c r="S101" s="160">
        <v>54.322222222222223</v>
      </c>
      <c r="T101" s="160">
        <v>45.06666666666667</v>
      </c>
      <c r="U101" s="160">
        <v>44.5</v>
      </c>
      <c r="V101" s="160">
        <v>47.8</v>
      </c>
      <c r="W101" s="160">
        <v>30.588888888888889</v>
      </c>
      <c r="X101" s="160">
        <v>37.511111111111113</v>
      </c>
      <c r="Y101" s="160">
        <v>47.022222222222226</v>
      </c>
      <c r="Z101" s="160">
        <v>25.238888888888887</v>
      </c>
      <c r="AA101" s="160">
        <v>23.427777777777777</v>
      </c>
      <c r="AB101" s="160">
        <v>21.988888888888887</v>
      </c>
      <c r="AC101" s="160">
        <v>0</v>
      </c>
      <c r="AD101" s="160">
        <v>0</v>
      </c>
      <c r="AE101" s="160">
        <v>0</v>
      </c>
      <c r="AF101" s="160">
        <v>252.48888888888894</v>
      </c>
      <c r="AG101" s="160">
        <v>48.666666666666664</v>
      </c>
      <c r="AH101" s="160">
        <v>21.988888888888887</v>
      </c>
      <c r="AI101" s="160">
        <v>355.47777777777776</v>
      </c>
      <c r="AJ101" s="160">
        <v>323.14444444444445</v>
      </c>
      <c r="AK101" s="160">
        <v>377.46666666666664</v>
      </c>
      <c r="AL101" s="161">
        <v>83.311111111111117</v>
      </c>
      <c r="AM101" s="161">
        <v>2.5722222222222224</v>
      </c>
      <c r="AN101" s="161">
        <v>85.88333333333334</v>
      </c>
      <c r="AO101" s="161">
        <v>380.03888888888883</v>
      </c>
      <c r="AP101" s="162">
        <v>69</v>
      </c>
      <c r="AQ101" s="168">
        <v>53</v>
      </c>
      <c r="AR101" s="160">
        <v>45</v>
      </c>
      <c r="AS101" s="160">
        <v>44</v>
      </c>
      <c r="AT101" s="160">
        <v>43</v>
      </c>
      <c r="AU101" s="160">
        <v>30</v>
      </c>
      <c r="AV101" s="160">
        <v>37</v>
      </c>
      <c r="AW101" s="160">
        <v>37</v>
      </c>
      <c r="AX101" s="160">
        <v>29</v>
      </c>
      <c r="AY101" s="160">
        <v>20</v>
      </c>
      <c r="AZ101" s="160">
        <v>0</v>
      </c>
      <c r="BA101" s="160">
        <v>0</v>
      </c>
      <c r="BB101" s="160">
        <v>0</v>
      </c>
      <c r="BC101" s="160">
        <v>252</v>
      </c>
      <c r="BD101" s="160">
        <v>66</v>
      </c>
      <c r="BE101" s="160">
        <v>20</v>
      </c>
      <c r="BF101" s="160">
        <v>387</v>
      </c>
      <c r="BG101" s="160">
        <v>338</v>
      </c>
      <c r="BH101" s="160">
        <v>407</v>
      </c>
      <c r="BI101" s="160">
        <v>68</v>
      </c>
      <c r="BJ101" s="160">
        <v>1</v>
      </c>
      <c r="BK101" s="160">
        <v>0</v>
      </c>
      <c r="BL101" s="160">
        <v>3</v>
      </c>
      <c r="BM101" s="160">
        <v>76</v>
      </c>
      <c r="BN101" s="162">
        <v>2</v>
      </c>
      <c r="BO101" s="162">
        <v>78</v>
      </c>
      <c r="BP101" s="162">
        <v>19</v>
      </c>
      <c r="BQ101" s="163">
        <v>6.865412481886779E-2</v>
      </c>
      <c r="BR101" s="164">
        <v>25.5</v>
      </c>
      <c r="BS101" s="164">
        <v>25.5</v>
      </c>
      <c r="BT101" s="164">
        <v>25.5</v>
      </c>
      <c r="BU101" s="164">
        <v>25.5</v>
      </c>
      <c r="BV101" s="165">
        <v>0</v>
      </c>
      <c r="BW101" s="165">
        <v>0</v>
      </c>
      <c r="BX101" s="166">
        <v>0</v>
      </c>
      <c r="BY101" s="166">
        <v>0</v>
      </c>
      <c r="BZ101" s="166">
        <v>67.138887999999994</v>
      </c>
      <c r="CA101" s="166">
        <v>67.138888888888886</v>
      </c>
      <c r="CB101" s="166">
        <v>48.422222222222224</v>
      </c>
      <c r="CC101" s="166">
        <v>42.12777777777778</v>
      </c>
      <c r="CD101" s="166">
        <v>42.138888888888886</v>
      </c>
      <c r="CE101" s="166">
        <v>42.583333333333336</v>
      </c>
      <c r="CF101" s="166">
        <v>29.355555555555554</v>
      </c>
      <c r="CG101" s="166">
        <v>34.416666666666664</v>
      </c>
      <c r="CH101" s="166">
        <v>35.011111111111113</v>
      </c>
      <c r="CI101" s="166">
        <v>27.822222222222223</v>
      </c>
      <c r="CJ101" s="166">
        <v>18.483333333333334</v>
      </c>
      <c r="CK101" s="166">
        <v>0</v>
      </c>
      <c r="CL101" s="166">
        <v>0</v>
      </c>
      <c r="CM101" s="166">
        <v>0</v>
      </c>
      <c r="CN101" s="166">
        <v>239.04444444444445</v>
      </c>
      <c r="CO101" s="166">
        <v>62.833333333333336</v>
      </c>
      <c r="CP101" s="166">
        <v>18.483333333333334</v>
      </c>
      <c r="CQ101" s="166">
        <v>369.01666666666665</v>
      </c>
      <c r="CR101" s="166">
        <v>320.36111111111109</v>
      </c>
      <c r="CS101" s="166">
        <v>387.5</v>
      </c>
      <c r="CT101" s="166">
        <v>78.711111111111094</v>
      </c>
      <c r="CU101" s="166">
        <v>2.3444444444444401</v>
      </c>
      <c r="CV101" s="166">
        <v>81.055555555555529</v>
      </c>
      <c r="CW101" s="166">
        <v>389.84444444444443</v>
      </c>
      <c r="CX101" s="166">
        <v>0</v>
      </c>
      <c r="CY101" s="166">
        <v>50</v>
      </c>
      <c r="CZ101" s="165">
        <v>0</v>
      </c>
      <c r="DA101" s="165">
        <v>50</v>
      </c>
      <c r="DB101" s="165">
        <v>62</v>
      </c>
      <c r="DC101" s="165">
        <v>55</v>
      </c>
      <c r="DD101" s="165">
        <v>35</v>
      </c>
      <c r="DE101" s="165">
        <v>42</v>
      </c>
      <c r="DF101" s="165">
        <v>44</v>
      </c>
      <c r="DG101" s="165">
        <v>29</v>
      </c>
      <c r="DH101" s="165">
        <v>30</v>
      </c>
      <c r="DI101" s="165">
        <v>31</v>
      </c>
      <c r="DJ101" s="165">
        <v>24</v>
      </c>
      <c r="DK101" s="165">
        <v>0</v>
      </c>
      <c r="DL101" s="165">
        <v>0</v>
      </c>
      <c r="DM101" s="165">
        <v>0</v>
      </c>
      <c r="DN101" s="165">
        <v>267</v>
      </c>
      <c r="DO101" s="165">
        <v>61</v>
      </c>
      <c r="DP101" s="165">
        <v>24</v>
      </c>
      <c r="DQ101" s="165">
        <v>378</v>
      </c>
      <c r="DR101" s="165">
        <v>352</v>
      </c>
      <c r="DS101" s="165">
        <v>402</v>
      </c>
      <c r="DT101" s="165">
        <v>0</v>
      </c>
      <c r="DU101" s="165">
        <v>34</v>
      </c>
      <c r="DV101" s="165">
        <v>96</v>
      </c>
      <c r="DW101" s="165">
        <v>2</v>
      </c>
      <c r="DX101" s="165">
        <v>98</v>
      </c>
      <c r="DY101" s="165">
        <v>404</v>
      </c>
      <c r="DZ101" s="165">
        <v>26</v>
      </c>
      <c r="EA101" s="166">
        <v>29</v>
      </c>
      <c r="EB101" s="166">
        <v>28</v>
      </c>
      <c r="EC101" s="166">
        <v>16.97</v>
      </c>
      <c r="ED101" s="166">
        <v>6.9400000000000013</v>
      </c>
      <c r="EE101" s="166">
        <v>0</v>
      </c>
      <c r="EF101" s="166">
        <v>30</v>
      </c>
      <c r="EG101" s="167">
        <v>6.4583333333333437E-2</v>
      </c>
      <c r="EH101" s="165"/>
      <c r="EI101" s="165">
        <v>49</v>
      </c>
      <c r="EJ101" s="165">
        <v>350</v>
      </c>
      <c r="EK101" s="165">
        <v>266</v>
      </c>
      <c r="EL101" s="165">
        <v>60</v>
      </c>
      <c r="EM101" s="165">
        <v>24</v>
      </c>
      <c r="EN101" s="165">
        <v>399</v>
      </c>
      <c r="EO101" s="165">
        <v>0</v>
      </c>
      <c r="EP101" s="165">
        <v>98</v>
      </c>
      <c r="EQ101" s="165">
        <v>98</v>
      </c>
      <c r="ER101" s="165">
        <v>96</v>
      </c>
      <c r="ES101" s="165">
        <v>2</v>
      </c>
      <c r="ET101" s="165">
        <v>7</v>
      </c>
      <c r="EU101" s="166">
        <v>16.225000000000001</v>
      </c>
      <c r="EV101" s="166">
        <v>0</v>
      </c>
      <c r="EW101" s="166">
        <v>1.875</v>
      </c>
      <c r="EX101" s="166">
        <v>0.5</v>
      </c>
      <c r="EY101" s="166">
        <v>0</v>
      </c>
      <c r="EZ101" s="166">
        <v>18.600000000000001</v>
      </c>
      <c r="FA101" s="166">
        <v>0</v>
      </c>
      <c r="FB101" s="166">
        <v>50.038888888888891</v>
      </c>
      <c r="FC101" s="166">
        <v>50.038888888888891</v>
      </c>
      <c r="FD101" s="166">
        <v>60.31111111111111</v>
      </c>
      <c r="FE101" s="166">
        <v>53.261111111111113</v>
      </c>
      <c r="FF101" s="166">
        <v>34.005555555555553</v>
      </c>
      <c r="FG101" s="166">
        <v>39.894444444444446</v>
      </c>
      <c r="FH101" s="166">
        <v>44.233333333333334</v>
      </c>
      <c r="FI101" s="166">
        <v>29.544444444444444</v>
      </c>
      <c r="FJ101" s="166">
        <v>29.905555555555555</v>
      </c>
      <c r="FK101" s="166">
        <v>29.211111111111112</v>
      </c>
      <c r="FL101" s="166">
        <v>22.65</v>
      </c>
      <c r="FM101" s="166">
        <v>0</v>
      </c>
      <c r="FN101" s="166">
        <v>0</v>
      </c>
      <c r="FO101" s="166">
        <v>0</v>
      </c>
      <c r="FP101" s="166">
        <v>261.25</v>
      </c>
      <c r="FQ101" s="166">
        <v>59.116666666666667</v>
      </c>
      <c r="FR101" s="166">
        <v>22.65</v>
      </c>
      <c r="FS101" s="166">
        <v>370.40555555555557</v>
      </c>
      <c r="FT101" s="166">
        <v>343.01666666666665</v>
      </c>
      <c r="FU101" s="166">
        <v>393.05555555555554</v>
      </c>
      <c r="FV101" s="166">
        <v>97.422222222222217</v>
      </c>
      <c r="FW101" s="166">
        <v>1.538888888888889</v>
      </c>
      <c r="FX101" s="166">
        <v>98.961111111111109</v>
      </c>
      <c r="FY101" s="166">
        <v>394.59444444444443</v>
      </c>
      <c r="FZ101" s="165">
        <v>1</v>
      </c>
      <c r="GA101" s="165">
        <v>59</v>
      </c>
      <c r="GB101" s="165">
        <v>60</v>
      </c>
      <c r="GC101" s="165">
        <v>46</v>
      </c>
      <c r="GD101" s="165">
        <v>62</v>
      </c>
      <c r="GE101" s="165">
        <v>50</v>
      </c>
      <c r="GF101" s="165">
        <v>29</v>
      </c>
      <c r="GG101" s="165">
        <v>40</v>
      </c>
      <c r="GH101" s="165">
        <v>43</v>
      </c>
      <c r="GI101" s="165">
        <v>25</v>
      </c>
      <c r="GJ101" s="165">
        <v>24</v>
      </c>
      <c r="GK101" s="165">
        <v>23</v>
      </c>
      <c r="GL101" s="165">
        <v>0</v>
      </c>
      <c r="GM101" s="165">
        <v>0</v>
      </c>
      <c r="GN101" s="165">
        <v>0</v>
      </c>
      <c r="GO101" s="165">
        <v>270</v>
      </c>
      <c r="GP101" s="165">
        <v>49</v>
      </c>
      <c r="GQ101" s="165">
        <v>23</v>
      </c>
      <c r="GR101" s="165">
        <v>379</v>
      </c>
      <c r="GS101" s="165">
        <v>342</v>
      </c>
      <c r="GT101" s="165">
        <v>402</v>
      </c>
      <c r="GU101" s="165">
        <v>0</v>
      </c>
      <c r="GV101" s="165">
        <v>50</v>
      </c>
      <c r="GW101" s="165">
        <v>96</v>
      </c>
      <c r="GX101" s="165">
        <v>2</v>
      </c>
      <c r="GY101" s="165">
        <v>98</v>
      </c>
      <c r="GZ101" s="165">
        <v>404</v>
      </c>
      <c r="HA101" s="165">
        <v>20</v>
      </c>
      <c r="HB101" s="166">
        <v>26.63</v>
      </c>
      <c r="HC101" s="166">
        <v>25.63</v>
      </c>
      <c r="HD101" s="166">
        <v>15.700000000000001</v>
      </c>
      <c r="HE101" s="166">
        <v>6.03</v>
      </c>
      <c r="HF101" s="166"/>
      <c r="HG101" s="166">
        <v>27.63</v>
      </c>
      <c r="HH101" s="166">
        <v>0</v>
      </c>
      <c r="HI101" s="166">
        <v>96</v>
      </c>
      <c r="HJ101" s="166">
        <v>96</v>
      </c>
      <c r="HK101" s="166">
        <v>94</v>
      </c>
      <c r="HL101" s="166">
        <v>2</v>
      </c>
      <c r="HM101" s="166">
        <v>9</v>
      </c>
      <c r="HN101" s="166">
        <v>50</v>
      </c>
      <c r="HO101" s="166">
        <v>352</v>
      </c>
      <c r="HP101" s="166">
        <v>266</v>
      </c>
      <c r="HQ101" s="166">
        <v>61</v>
      </c>
      <c r="HR101" s="166">
        <v>25</v>
      </c>
      <c r="HS101" s="166">
        <v>402</v>
      </c>
      <c r="HT101" s="166">
        <f>FY26_FE_Data_April15[[#This Row],[Oct 1, 2026 (CDC) - K]]+FY26_FE_Data_April15[[#This Row],[Oct 1, 2026 (CDC) - Grades 1-6]]+FY26_FE_Data_April15[[#This Row],[Oct 1, 2026 (CDC) - Grades 7-8]]</f>
        <v>377</v>
      </c>
      <c r="HU101" s="166">
        <v>0</v>
      </c>
      <c r="HW101" s="170"/>
      <c r="HY101" s="170"/>
    </row>
    <row r="102" spans="1:233" ht="52">
      <c r="A102" s="158" t="s">
        <v>518</v>
      </c>
      <c r="B102" s="159" t="s">
        <v>519</v>
      </c>
      <c r="C102" s="160" t="s">
        <v>520</v>
      </c>
      <c r="D102" s="160" t="s">
        <v>139</v>
      </c>
      <c r="E102" s="159" t="s">
        <v>784</v>
      </c>
      <c r="F102" s="159" t="s">
        <v>784</v>
      </c>
      <c r="G102" s="159"/>
      <c r="H102" s="161">
        <v>21.105555555555554</v>
      </c>
      <c r="I102" s="161">
        <v>0</v>
      </c>
      <c r="J102" s="161">
        <v>21.105555555555554</v>
      </c>
      <c r="K102" s="162">
        <v>27</v>
      </c>
      <c r="L102" s="162">
        <v>158</v>
      </c>
      <c r="M102" s="162">
        <v>56</v>
      </c>
      <c r="N102" s="162">
        <v>56</v>
      </c>
      <c r="O102" s="162">
        <v>297</v>
      </c>
      <c r="P102" s="162">
        <v>270</v>
      </c>
      <c r="Q102" s="162">
        <v>241</v>
      </c>
      <c r="R102" s="162">
        <v>0</v>
      </c>
      <c r="S102" s="160">
        <v>25.988888888888887</v>
      </c>
      <c r="T102" s="160">
        <v>22.461111111111112</v>
      </c>
      <c r="U102" s="160">
        <v>23.55</v>
      </c>
      <c r="V102" s="160">
        <v>29.55</v>
      </c>
      <c r="W102" s="160">
        <v>28.45</v>
      </c>
      <c r="X102" s="160">
        <v>18.127777777777776</v>
      </c>
      <c r="Y102" s="160">
        <v>30.511111111111113</v>
      </c>
      <c r="Z102" s="160">
        <v>30.8</v>
      </c>
      <c r="AA102" s="160">
        <v>22.894444444444446</v>
      </c>
      <c r="AB102" s="160">
        <v>15</v>
      </c>
      <c r="AC102" s="160">
        <v>13.666666666666666</v>
      </c>
      <c r="AD102" s="160">
        <v>14.6</v>
      </c>
      <c r="AE102" s="160">
        <v>11.5</v>
      </c>
      <c r="AF102" s="160">
        <v>152.65</v>
      </c>
      <c r="AG102" s="160">
        <v>53.694444444444443</v>
      </c>
      <c r="AH102" s="160">
        <v>54.766666666666666</v>
      </c>
      <c r="AI102" s="160">
        <v>232.33333333333334</v>
      </c>
      <c r="AJ102" s="160">
        <v>261.11111111111109</v>
      </c>
      <c r="AK102" s="160">
        <v>287.10000000000002</v>
      </c>
      <c r="AL102" s="161">
        <v>15.2</v>
      </c>
      <c r="AM102" s="161">
        <v>0</v>
      </c>
      <c r="AN102" s="161">
        <v>15.2</v>
      </c>
      <c r="AO102" s="161">
        <v>287.10000000000002</v>
      </c>
      <c r="AP102" s="162">
        <v>24</v>
      </c>
      <c r="AQ102" s="168">
        <v>27</v>
      </c>
      <c r="AR102" s="160">
        <v>25</v>
      </c>
      <c r="AS102" s="160">
        <v>26</v>
      </c>
      <c r="AT102" s="160">
        <v>29</v>
      </c>
      <c r="AU102" s="160">
        <v>31</v>
      </c>
      <c r="AV102" s="160">
        <v>18</v>
      </c>
      <c r="AW102" s="160">
        <v>31</v>
      </c>
      <c r="AX102" s="160">
        <v>31</v>
      </c>
      <c r="AY102" s="160">
        <v>15</v>
      </c>
      <c r="AZ102" s="160">
        <v>14</v>
      </c>
      <c r="BA102" s="160">
        <v>10</v>
      </c>
      <c r="BB102" s="160">
        <v>14</v>
      </c>
      <c r="BC102" s="160">
        <v>156</v>
      </c>
      <c r="BD102" s="160">
        <v>62</v>
      </c>
      <c r="BE102" s="160">
        <v>53</v>
      </c>
      <c r="BF102" s="160">
        <v>242</v>
      </c>
      <c r="BG102" s="160">
        <v>271</v>
      </c>
      <c r="BH102" s="160">
        <v>295</v>
      </c>
      <c r="BI102" s="160">
        <v>24</v>
      </c>
      <c r="BJ102" s="160">
        <v>0</v>
      </c>
      <c r="BK102" s="160">
        <v>0</v>
      </c>
      <c r="BL102" s="160">
        <v>129</v>
      </c>
      <c r="BM102" s="160">
        <v>13</v>
      </c>
      <c r="BN102" s="162">
        <v>0</v>
      </c>
      <c r="BO102" s="162">
        <v>13</v>
      </c>
      <c r="BP102" s="162">
        <v>25</v>
      </c>
      <c r="BQ102" s="163">
        <v>4.9816968130921624E-2</v>
      </c>
      <c r="BR102" s="164">
        <v>10.37</v>
      </c>
      <c r="BS102" s="164">
        <v>8.9850000000000012</v>
      </c>
      <c r="BT102" s="164">
        <v>8.9850000000000012</v>
      </c>
      <c r="BU102" s="164">
        <v>11.87</v>
      </c>
      <c r="BV102" s="165">
        <v>0</v>
      </c>
      <c r="BW102" s="165">
        <v>0</v>
      </c>
      <c r="BX102" s="166">
        <v>0</v>
      </c>
      <c r="BY102" s="166">
        <v>0</v>
      </c>
      <c r="BZ102" s="166">
        <v>23.466666</v>
      </c>
      <c r="CA102" s="166">
        <v>23.466666666666665</v>
      </c>
      <c r="CB102" s="166">
        <v>26.466666666666665</v>
      </c>
      <c r="CC102" s="166">
        <v>25.094444444444445</v>
      </c>
      <c r="CD102" s="166">
        <v>25.011111111111113</v>
      </c>
      <c r="CE102" s="166">
        <v>27.911111111111111</v>
      </c>
      <c r="CF102" s="166">
        <v>30.894444444444446</v>
      </c>
      <c r="CG102" s="166">
        <v>17.255555555555556</v>
      </c>
      <c r="CH102" s="166">
        <v>30.655555555555555</v>
      </c>
      <c r="CI102" s="166">
        <v>30.18888888888889</v>
      </c>
      <c r="CJ102" s="166">
        <v>14.277777777777779</v>
      </c>
      <c r="CK102" s="166">
        <v>14.061111111111112</v>
      </c>
      <c r="CL102" s="166">
        <v>9.2611111111111111</v>
      </c>
      <c r="CM102" s="166">
        <v>14</v>
      </c>
      <c r="CN102" s="166">
        <v>152.63333333333335</v>
      </c>
      <c r="CO102" s="166">
        <v>60.844444444444449</v>
      </c>
      <c r="CP102" s="166">
        <v>51.6</v>
      </c>
      <c r="CQ102" s="166">
        <v>236.94444444444446</v>
      </c>
      <c r="CR102" s="166">
        <v>265.07777777777778</v>
      </c>
      <c r="CS102" s="166">
        <v>288.54444444444448</v>
      </c>
      <c r="CT102" s="166">
        <v>12.594444444444401</v>
      </c>
      <c r="CU102" s="166">
        <v>0</v>
      </c>
      <c r="CV102" s="166">
        <v>12.594444444444401</v>
      </c>
      <c r="CW102" s="166">
        <v>288.54444444444448</v>
      </c>
      <c r="CX102" s="166">
        <v>0</v>
      </c>
      <c r="CY102" s="166">
        <v>26</v>
      </c>
      <c r="CZ102" s="165">
        <v>0</v>
      </c>
      <c r="DA102" s="165">
        <v>26</v>
      </c>
      <c r="DB102" s="165">
        <v>24</v>
      </c>
      <c r="DC102" s="165">
        <v>26</v>
      </c>
      <c r="DD102" s="165">
        <v>27</v>
      </c>
      <c r="DE102" s="165">
        <v>26</v>
      </c>
      <c r="DF102" s="165">
        <v>33</v>
      </c>
      <c r="DG102" s="165">
        <v>33</v>
      </c>
      <c r="DH102" s="165">
        <v>15</v>
      </c>
      <c r="DI102" s="165">
        <v>31</v>
      </c>
      <c r="DJ102" s="165">
        <v>24</v>
      </c>
      <c r="DK102" s="165">
        <v>14</v>
      </c>
      <c r="DL102" s="165">
        <v>14</v>
      </c>
      <c r="DM102" s="165">
        <v>8</v>
      </c>
      <c r="DN102" s="165">
        <v>169</v>
      </c>
      <c r="DO102" s="165">
        <v>46</v>
      </c>
      <c r="DP102" s="165">
        <v>60</v>
      </c>
      <c r="DQ102" s="165">
        <v>241</v>
      </c>
      <c r="DR102" s="165">
        <v>275</v>
      </c>
      <c r="DS102" s="165">
        <v>301</v>
      </c>
      <c r="DT102" s="165">
        <v>0</v>
      </c>
      <c r="DU102" s="165">
        <v>300</v>
      </c>
      <c r="DV102" s="165">
        <v>13</v>
      </c>
      <c r="DW102" s="165">
        <v>0</v>
      </c>
      <c r="DX102" s="165">
        <v>13</v>
      </c>
      <c r="DY102" s="165">
        <v>301</v>
      </c>
      <c r="DZ102" s="165">
        <v>23</v>
      </c>
      <c r="EA102" s="166">
        <v>15.87</v>
      </c>
      <c r="EB102" s="166">
        <v>14.485000000000001</v>
      </c>
      <c r="EC102" s="166">
        <v>6.4249999999999998</v>
      </c>
      <c r="ED102" s="166">
        <v>8.0599999999999987</v>
      </c>
      <c r="EE102" s="166">
        <v>0</v>
      </c>
      <c r="EF102" s="166">
        <v>15.870000000000001</v>
      </c>
      <c r="EG102" s="167">
        <v>6.6666666666666652E-2</v>
      </c>
      <c r="EH102" s="165"/>
      <c r="EI102" s="165">
        <v>26</v>
      </c>
      <c r="EJ102" s="165">
        <v>274</v>
      </c>
      <c r="EK102" s="165">
        <v>160</v>
      </c>
      <c r="EL102" s="165">
        <v>57</v>
      </c>
      <c r="EM102" s="165">
        <v>57</v>
      </c>
      <c r="EN102" s="165">
        <v>300</v>
      </c>
      <c r="EO102" s="165">
        <v>0</v>
      </c>
      <c r="EP102" s="165">
        <v>13</v>
      </c>
      <c r="EQ102" s="165">
        <v>13</v>
      </c>
      <c r="ER102" s="165">
        <v>13</v>
      </c>
      <c r="ES102" s="165">
        <v>0</v>
      </c>
      <c r="ET102" s="165">
        <v>0</v>
      </c>
      <c r="EU102" s="166">
        <v>11.5</v>
      </c>
      <c r="EV102" s="166">
        <v>0</v>
      </c>
      <c r="EW102" s="166">
        <v>3.2</v>
      </c>
      <c r="EX102" s="166">
        <v>0</v>
      </c>
      <c r="EY102" s="166">
        <v>3.5</v>
      </c>
      <c r="EZ102" s="166">
        <v>18.2</v>
      </c>
      <c r="FA102" s="166">
        <v>0</v>
      </c>
      <c r="FB102" s="166">
        <v>26.15</v>
      </c>
      <c r="FC102" s="166">
        <v>26.15</v>
      </c>
      <c r="FD102" s="166">
        <v>23.305555555555557</v>
      </c>
      <c r="FE102" s="166">
        <v>26.683333333333334</v>
      </c>
      <c r="FF102" s="166">
        <v>24.833333333333332</v>
      </c>
      <c r="FG102" s="166">
        <v>25.194444444444443</v>
      </c>
      <c r="FH102" s="166">
        <v>32.18888888888889</v>
      </c>
      <c r="FI102" s="166">
        <v>32.68888888888889</v>
      </c>
      <c r="FJ102" s="166">
        <v>15</v>
      </c>
      <c r="FK102" s="166">
        <v>30.405555555555555</v>
      </c>
      <c r="FL102" s="166">
        <v>23.766666666666666</v>
      </c>
      <c r="FM102" s="166">
        <v>13.305555555555555</v>
      </c>
      <c r="FN102" s="166">
        <v>14</v>
      </c>
      <c r="FO102" s="166">
        <v>7.9888888888888889</v>
      </c>
      <c r="FP102" s="166">
        <v>164.89444444444445</v>
      </c>
      <c r="FQ102" s="166">
        <v>45.405555555555551</v>
      </c>
      <c r="FR102" s="166">
        <v>59.06111111111111</v>
      </c>
      <c r="FS102" s="166">
        <v>236.45000000000002</v>
      </c>
      <c r="FT102" s="166">
        <v>269.36111111111109</v>
      </c>
      <c r="FU102" s="166">
        <v>295.51111111111112</v>
      </c>
      <c r="FV102" s="166">
        <v>13.594444444444445</v>
      </c>
      <c r="FW102" s="166">
        <v>0</v>
      </c>
      <c r="FX102" s="166">
        <v>13.594444444444445</v>
      </c>
      <c r="FY102" s="166">
        <v>295.51111111111112</v>
      </c>
      <c r="FZ102" s="165">
        <v>0</v>
      </c>
      <c r="GA102" s="165">
        <v>27</v>
      </c>
      <c r="GB102" s="165">
        <v>27</v>
      </c>
      <c r="GC102" s="165">
        <v>29</v>
      </c>
      <c r="GD102" s="165">
        <v>23</v>
      </c>
      <c r="GE102" s="165">
        <v>28</v>
      </c>
      <c r="GF102" s="165">
        <v>27</v>
      </c>
      <c r="GG102" s="165">
        <v>24</v>
      </c>
      <c r="GH102" s="165">
        <v>28</v>
      </c>
      <c r="GI102" s="165">
        <v>31</v>
      </c>
      <c r="GJ102" s="165">
        <v>15</v>
      </c>
      <c r="GK102" s="165">
        <v>25</v>
      </c>
      <c r="GL102" s="165">
        <v>18</v>
      </c>
      <c r="GM102" s="165">
        <v>12</v>
      </c>
      <c r="GN102" s="165">
        <v>14</v>
      </c>
      <c r="GO102" s="165">
        <v>159</v>
      </c>
      <c r="GP102" s="165">
        <v>46</v>
      </c>
      <c r="GQ102" s="165">
        <v>69</v>
      </c>
      <c r="GR102" s="165">
        <v>232</v>
      </c>
      <c r="GS102" s="165">
        <v>274</v>
      </c>
      <c r="GT102" s="165">
        <v>301</v>
      </c>
      <c r="GU102" s="165">
        <v>0</v>
      </c>
      <c r="GV102" s="165">
        <v>297</v>
      </c>
      <c r="GW102" s="165">
        <v>15</v>
      </c>
      <c r="GX102" s="165">
        <v>0</v>
      </c>
      <c r="GY102" s="165">
        <v>15</v>
      </c>
      <c r="GZ102" s="165">
        <v>301</v>
      </c>
      <c r="HA102" s="165">
        <v>17</v>
      </c>
      <c r="HB102" s="166">
        <v>14.87</v>
      </c>
      <c r="HC102" s="166">
        <v>13.485000000000001</v>
      </c>
      <c r="HD102" s="166">
        <v>5.9249999999999998</v>
      </c>
      <c r="HE102" s="166">
        <v>7.56</v>
      </c>
      <c r="HF102" s="166"/>
      <c r="HG102" s="166">
        <v>14.87</v>
      </c>
      <c r="HH102" s="166">
        <v>0</v>
      </c>
      <c r="HI102" s="166">
        <v>15</v>
      </c>
      <c r="HJ102" s="166">
        <v>15</v>
      </c>
      <c r="HK102" s="166">
        <v>15</v>
      </c>
      <c r="HL102" s="166">
        <v>0</v>
      </c>
      <c r="HM102" s="166">
        <v>0</v>
      </c>
      <c r="HN102" s="166">
        <v>26</v>
      </c>
      <c r="HO102" s="166">
        <v>275</v>
      </c>
      <c r="HP102" s="166">
        <v>169</v>
      </c>
      <c r="HQ102" s="166">
        <v>46</v>
      </c>
      <c r="HR102" s="166">
        <v>60</v>
      </c>
      <c r="HS102" s="166">
        <v>301</v>
      </c>
      <c r="HT102" s="166">
        <f>FY26_FE_Data_April15[[#This Row],[Oct 1, 2026 (CDC) - K]]+FY26_FE_Data_April15[[#This Row],[Oct 1, 2026 (CDC) - Grades 1-6]]+FY26_FE_Data_April15[[#This Row],[Oct 1, 2026 (CDC) - Grades 7-8]]</f>
        <v>241</v>
      </c>
      <c r="HU102" s="166">
        <v>0</v>
      </c>
      <c r="HW102" s="170"/>
      <c r="HY102" s="170"/>
    </row>
    <row r="103" spans="1:233" ht="26">
      <c r="A103" s="158" t="s">
        <v>521</v>
      </c>
      <c r="B103" s="159" t="s">
        <v>522</v>
      </c>
      <c r="C103" s="171" t="s">
        <v>523</v>
      </c>
      <c r="D103" s="160" t="s">
        <v>139</v>
      </c>
      <c r="E103" s="159" t="s">
        <v>784</v>
      </c>
      <c r="F103" s="159" t="s">
        <v>784</v>
      </c>
      <c r="G103" s="159" t="s">
        <v>784</v>
      </c>
      <c r="H103" s="161">
        <v>138.11666666666667</v>
      </c>
      <c r="I103" s="161">
        <v>2.7611111111111111</v>
      </c>
      <c r="J103" s="161">
        <v>140.87777777777779</v>
      </c>
      <c r="K103" s="162">
        <v>75</v>
      </c>
      <c r="L103" s="162">
        <v>403</v>
      </c>
      <c r="M103" s="162">
        <v>91</v>
      </c>
      <c r="N103" s="162">
        <v>0</v>
      </c>
      <c r="O103" s="162">
        <v>569</v>
      </c>
      <c r="P103" s="162">
        <v>494</v>
      </c>
      <c r="Q103" s="162">
        <v>569</v>
      </c>
      <c r="R103" s="162">
        <v>2</v>
      </c>
      <c r="S103" s="160">
        <v>78.061111111111103</v>
      </c>
      <c r="T103" s="160">
        <v>65.311111111111103</v>
      </c>
      <c r="U103" s="160">
        <v>66.027777777777786</v>
      </c>
      <c r="V103" s="160">
        <v>64.705555555555563</v>
      </c>
      <c r="W103" s="160">
        <v>84.394444444444446</v>
      </c>
      <c r="X103" s="160">
        <v>48.966666666666669</v>
      </c>
      <c r="Y103" s="160">
        <v>64.683333333333337</v>
      </c>
      <c r="Z103" s="160">
        <v>44.883333333333333</v>
      </c>
      <c r="AA103" s="160">
        <v>41.983333333333334</v>
      </c>
      <c r="AB103" s="160">
        <v>0</v>
      </c>
      <c r="AC103" s="160">
        <v>0</v>
      </c>
      <c r="AD103" s="160">
        <v>0</v>
      </c>
      <c r="AE103" s="160">
        <v>0</v>
      </c>
      <c r="AF103" s="160">
        <v>394.08888888888885</v>
      </c>
      <c r="AG103" s="160">
        <v>86.866666666666674</v>
      </c>
      <c r="AH103" s="160">
        <v>0</v>
      </c>
      <c r="AI103" s="160">
        <v>559.01666666666665</v>
      </c>
      <c r="AJ103" s="160">
        <v>480.95555555555552</v>
      </c>
      <c r="AK103" s="160">
        <v>559.01666666666665</v>
      </c>
      <c r="AL103" s="161">
        <v>115.50555555555555</v>
      </c>
      <c r="AM103" s="161">
        <v>2.3166666666666669</v>
      </c>
      <c r="AN103" s="161">
        <v>117.82222222222221</v>
      </c>
      <c r="AO103" s="161">
        <v>561.33333333333337</v>
      </c>
      <c r="AP103" s="162">
        <v>74</v>
      </c>
      <c r="AQ103" s="168">
        <v>65</v>
      </c>
      <c r="AR103" s="160">
        <v>64</v>
      </c>
      <c r="AS103" s="160">
        <v>76</v>
      </c>
      <c r="AT103" s="160">
        <v>83</v>
      </c>
      <c r="AU103" s="160">
        <v>82</v>
      </c>
      <c r="AV103" s="160">
        <v>52</v>
      </c>
      <c r="AW103" s="160">
        <v>55</v>
      </c>
      <c r="AX103" s="160">
        <v>42</v>
      </c>
      <c r="AY103" s="160">
        <v>0</v>
      </c>
      <c r="AZ103" s="160">
        <v>0</v>
      </c>
      <c r="BA103" s="160">
        <v>0</v>
      </c>
      <c r="BB103" s="160">
        <v>0</v>
      </c>
      <c r="BC103" s="160">
        <v>422</v>
      </c>
      <c r="BD103" s="160">
        <v>97</v>
      </c>
      <c r="BE103" s="160">
        <v>0</v>
      </c>
      <c r="BF103" s="160">
        <v>593</v>
      </c>
      <c r="BG103" s="160">
        <v>519</v>
      </c>
      <c r="BH103" s="160">
        <v>593</v>
      </c>
      <c r="BI103" s="160">
        <v>74</v>
      </c>
      <c r="BJ103" s="160">
        <v>0</v>
      </c>
      <c r="BK103" s="160">
        <v>0</v>
      </c>
      <c r="BL103" s="160">
        <v>234</v>
      </c>
      <c r="BM103" s="160">
        <v>115</v>
      </c>
      <c r="BN103" s="162">
        <v>2</v>
      </c>
      <c r="BO103" s="162">
        <v>117</v>
      </c>
      <c r="BP103" s="162">
        <v>8</v>
      </c>
      <c r="BQ103" s="163">
        <v>0.12227921722470581</v>
      </c>
      <c r="BR103" s="164">
        <v>31.8</v>
      </c>
      <c r="BS103" s="164">
        <v>27.8</v>
      </c>
      <c r="BT103" s="164">
        <v>27.8</v>
      </c>
      <c r="BU103" s="164">
        <v>35.799999999999997</v>
      </c>
      <c r="BV103" s="165">
        <v>385</v>
      </c>
      <c r="BW103" s="165">
        <v>284</v>
      </c>
      <c r="BX103" s="166">
        <v>399.36111099999999</v>
      </c>
      <c r="BY103" s="166">
        <v>5.1555549999999997</v>
      </c>
      <c r="BZ103" s="166">
        <v>74.527777</v>
      </c>
      <c r="CA103" s="166">
        <v>79.683333333333337</v>
      </c>
      <c r="CB103" s="166">
        <v>66.294444444444451</v>
      </c>
      <c r="CC103" s="166">
        <v>68.177777777777777</v>
      </c>
      <c r="CD103" s="166">
        <v>78.472222222222229</v>
      </c>
      <c r="CE103" s="166">
        <v>82.077777777777769</v>
      </c>
      <c r="CF103" s="166">
        <v>80.588888888888889</v>
      </c>
      <c r="CG103" s="166">
        <v>52.677777777777777</v>
      </c>
      <c r="CH103" s="166">
        <v>51.033333333333331</v>
      </c>
      <c r="CI103" s="166">
        <v>40.644444444444446</v>
      </c>
      <c r="CJ103" s="166">
        <v>0</v>
      </c>
      <c r="CK103" s="166">
        <v>0</v>
      </c>
      <c r="CL103" s="166">
        <v>0</v>
      </c>
      <c r="CM103" s="166">
        <v>0</v>
      </c>
      <c r="CN103" s="166">
        <v>428.28888888888889</v>
      </c>
      <c r="CO103" s="166">
        <v>91.677777777777777</v>
      </c>
      <c r="CP103" s="166">
        <v>0</v>
      </c>
      <c r="CQ103" s="166">
        <v>599.65</v>
      </c>
      <c r="CR103" s="166">
        <v>519.9666666666667</v>
      </c>
      <c r="CS103" s="166">
        <v>599.65</v>
      </c>
      <c r="CT103" s="166">
        <v>118.3055555555556</v>
      </c>
      <c r="CU103" s="166">
        <v>2</v>
      </c>
      <c r="CV103" s="166">
        <v>120.3055555555556</v>
      </c>
      <c r="CW103" s="166">
        <v>601.65</v>
      </c>
      <c r="CX103" s="166">
        <v>427.03888799999999</v>
      </c>
      <c r="CY103" s="166">
        <v>92</v>
      </c>
      <c r="CZ103" s="165">
        <v>0</v>
      </c>
      <c r="DA103" s="165">
        <v>92</v>
      </c>
      <c r="DB103" s="165">
        <v>92</v>
      </c>
      <c r="DC103" s="165">
        <v>64</v>
      </c>
      <c r="DD103" s="165">
        <v>74</v>
      </c>
      <c r="DE103" s="165">
        <v>81</v>
      </c>
      <c r="DF103" s="165">
        <v>69</v>
      </c>
      <c r="DG103" s="165">
        <v>78</v>
      </c>
      <c r="DH103" s="165">
        <v>53</v>
      </c>
      <c r="DI103" s="165">
        <v>41</v>
      </c>
      <c r="DJ103" s="165">
        <v>0</v>
      </c>
      <c r="DK103" s="165">
        <v>0</v>
      </c>
      <c r="DL103" s="165">
        <v>0</v>
      </c>
      <c r="DM103" s="165">
        <v>0</v>
      </c>
      <c r="DN103" s="165">
        <v>458</v>
      </c>
      <c r="DO103" s="165">
        <v>94</v>
      </c>
      <c r="DP103" s="165">
        <v>0</v>
      </c>
      <c r="DQ103" s="165">
        <v>644</v>
      </c>
      <c r="DR103" s="165">
        <v>552</v>
      </c>
      <c r="DS103" s="165">
        <v>644</v>
      </c>
      <c r="DT103" s="165">
        <v>0</v>
      </c>
      <c r="DU103" s="165">
        <v>194</v>
      </c>
      <c r="DV103" s="165">
        <v>116</v>
      </c>
      <c r="DW103" s="165">
        <v>4</v>
      </c>
      <c r="DX103" s="165">
        <v>120</v>
      </c>
      <c r="DY103" s="165">
        <v>648</v>
      </c>
      <c r="DZ103" s="165">
        <v>5</v>
      </c>
      <c r="EA103" s="166">
        <v>28.75</v>
      </c>
      <c r="EB103" s="166">
        <v>25.25</v>
      </c>
      <c r="EC103" s="166">
        <v>20.660000000000004</v>
      </c>
      <c r="ED103" s="166">
        <v>4.59</v>
      </c>
      <c r="EE103" s="166">
        <v>0</v>
      </c>
      <c r="EF103" s="166">
        <v>29.75</v>
      </c>
      <c r="EG103" s="167">
        <v>0.13400000000000006</v>
      </c>
      <c r="EH103" s="165">
        <v>0</v>
      </c>
      <c r="EI103" s="165">
        <v>89</v>
      </c>
      <c r="EJ103" s="165">
        <v>552</v>
      </c>
      <c r="EK103" s="165">
        <v>460</v>
      </c>
      <c r="EL103" s="165">
        <v>92</v>
      </c>
      <c r="EM103" s="165">
        <v>0</v>
      </c>
      <c r="EN103" s="165">
        <v>641</v>
      </c>
      <c r="EO103" s="165">
        <v>0</v>
      </c>
      <c r="EP103" s="165">
        <v>118</v>
      </c>
      <c r="EQ103" s="165">
        <v>118</v>
      </c>
      <c r="ER103" s="165">
        <v>112</v>
      </c>
      <c r="ES103" s="165">
        <v>6</v>
      </c>
      <c r="ET103" s="165">
        <v>25</v>
      </c>
      <c r="EU103" s="166">
        <v>15.5</v>
      </c>
      <c r="EV103" s="166">
        <v>0</v>
      </c>
      <c r="EW103" s="166">
        <v>4.75</v>
      </c>
      <c r="EX103" s="166">
        <v>0.8</v>
      </c>
      <c r="EY103" s="166">
        <v>2.7</v>
      </c>
      <c r="EZ103" s="166">
        <v>23.75</v>
      </c>
      <c r="FA103" s="182">
        <v>0</v>
      </c>
      <c r="FB103" s="182">
        <v>87.87777777777778</v>
      </c>
      <c r="FC103" s="182">
        <v>87.87777777777778</v>
      </c>
      <c r="FD103" s="182">
        <v>87.811111111111103</v>
      </c>
      <c r="FE103" s="182">
        <v>65.37222222222222</v>
      </c>
      <c r="FF103" s="182">
        <v>75.37777777777778</v>
      </c>
      <c r="FG103" s="182">
        <v>80.855555555555554</v>
      </c>
      <c r="FH103" s="182">
        <v>71.322222222222223</v>
      </c>
      <c r="FI103" s="182">
        <v>79.705555555555549</v>
      </c>
      <c r="FJ103" s="182">
        <v>55.105555555555554</v>
      </c>
      <c r="FK103" s="182">
        <v>39.25</v>
      </c>
      <c r="FL103" s="182">
        <v>0</v>
      </c>
      <c r="FM103" s="182">
        <v>0</v>
      </c>
      <c r="FN103" s="182">
        <v>0</v>
      </c>
      <c r="FO103" s="182">
        <v>0</v>
      </c>
      <c r="FP103" s="182">
        <v>460.44444444444446</v>
      </c>
      <c r="FQ103" s="182">
        <v>94.355555555555554</v>
      </c>
      <c r="FR103" s="182">
        <v>0</v>
      </c>
      <c r="FS103" s="182">
        <v>642.67777777777781</v>
      </c>
      <c r="FT103" s="182">
        <v>554.79999999999995</v>
      </c>
      <c r="FU103" s="182">
        <v>642.67777777777781</v>
      </c>
      <c r="FV103" s="182">
        <v>118.06666666666666</v>
      </c>
      <c r="FW103" s="182">
        <v>6.7888888888888896</v>
      </c>
      <c r="FX103" s="182">
        <v>124.85555555555555</v>
      </c>
      <c r="FY103" s="182">
        <v>649.4666666666667</v>
      </c>
      <c r="FZ103" s="165">
        <v>0</v>
      </c>
      <c r="GA103" s="165">
        <v>94</v>
      </c>
      <c r="GB103" s="165">
        <v>94</v>
      </c>
      <c r="GC103" s="165">
        <v>94</v>
      </c>
      <c r="GD103" s="165">
        <v>94</v>
      </c>
      <c r="GE103" s="165">
        <v>92</v>
      </c>
      <c r="GF103" s="165">
        <v>92</v>
      </c>
      <c r="GG103" s="165">
        <v>68</v>
      </c>
      <c r="GH103" s="165">
        <v>89</v>
      </c>
      <c r="GI103" s="165">
        <v>74</v>
      </c>
      <c r="GJ103" s="165">
        <v>51</v>
      </c>
      <c r="GK103" s="165">
        <v>0</v>
      </c>
      <c r="GL103" s="165">
        <v>0</v>
      </c>
      <c r="GM103" s="165">
        <v>0</v>
      </c>
      <c r="GN103" s="165">
        <v>0</v>
      </c>
      <c r="GO103" s="165">
        <v>529</v>
      </c>
      <c r="GP103" s="165">
        <v>125</v>
      </c>
      <c r="GQ103" s="165">
        <v>0</v>
      </c>
      <c r="GR103" s="165">
        <v>748</v>
      </c>
      <c r="GS103" s="165">
        <v>654</v>
      </c>
      <c r="GT103" s="165">
        <v>748</v>
      </c>
      <c r="GU103" s="165">
        <v>0</v>
      </c>
      <c r="GV103" s="165">
        <v>236</v>
      </c>
      <c r="GW103" s="165">
        <v>109</v>
      </c>
      <c r="GX103" s="165">
        <v>7</v>
      </c>
      <c r="GY103" s="165">
        <v>116</v>
      </c>
      <c r="GZ103" s="165">
        <v>755</v>
      </c>
      <c r="HA103" s="165">
        <v>0</v>
      </c>
      <c r="HB103" s="166">
        <v>33.03</v>
      </c>
      <c r="HC103" s="166">
        <v>29.03</v>
      </c>
      <c r="HD103" s="166">
        <v>25.019999999999996</v>
      </c>
      <c r="HE103" s="166">
        <v>4.01</v>
      </c>
      <c r="HF103" s="166"/>
      <c r="HG103" s="166">
        <v>37.32</v>
      </c>
      <c r="HH103" s="166">
        <v>0</v>
      </c>
      <c r="HI103" s="166">
        <v>120</v>
      </c>
      <c r="HJ103" s="166">
        <v>120</v>
      </c>
      <c r="HK103" s="166">
        <v>114</v>
      </c>
      <c r="HL103" s="166">
        <v>6</v>
      </c>
      <c r="HM103" s="166">
        <v>19</v>
      </c>
      <c r="HN103" s="166">
        <v>87</v>
      </c>
      <c r="HO103" s="166">
        <v>699</v>
      </c>
      <c r="HP103" s="166">
        <v>522</v>
      </c>
      <c r="HQ103" s="166">
        <v>177</v>
      </c>
      <c r="HR103" s="166">
        <v>0</v>
      </c>
      <c r="HS103" s="166">
        <v>786</v>
      </c>
      <c r="HT103" s="166">
        <f>FY26_FE_Data_April15[[#This Row],[Oct 1, 2026 (CDC) - K]]+FY26_FE_Data_April15[[#This Row],[Oct 1, 2026 (CDC) - Grades 1-6]]+FY26_FE_Data_April15[[#This Row],[Oct 1, 2026 (CDC) - Grades 7-8]]</f>
        <v>786</v>
      </c>
      <c r="HU103" s="166">
        <v>472.39444400000002</v>
      </c>
      <c r="HW103" s="170"/>
      <c r="HY103" s="170"/>
    </row>
    <row r="104" spans="1:233" ht="39">
      <c r="A104" s="158" t="s">
        <v>524</v>
      </c>
      <c r="B104" s="159" t="s">
        <v>525</v>
      </c>
      <c r="C104" s="160" t="s">
        <v>526</v>
      </c>
      <c r="D104" s="160" t="s">
        <v>139</v>
      </c>
      <c r="E104" s="159" t="s">
        <v>784</v>
      </c>
      <c r="F104" s="159" t="s">
        <v>784</v>
      </c>
      <c r="G104" s="159"/>
      <c r="H104" s="161">
        <v>36.4</v>
      </c>
      <c r="I104" s="161">
        <v>0.68333333333333335</v>
      </c>
      <c r="J104" s="161">
        <v>37.083333333333329</v>
      </c>
      <c r="K104" s="162">
        <v>60</v>
      </c>
      <c r="L104" s="162">
        <v>399</v>
      </c>
      <c r="M104" s="162">
        <v>48</v>
      </c>
      <c r="N104" s="162">
        <v>0</v>
      </c>
      <c r="O104" s="162">
        <v>507</v>
      </c>
      <c r="P104" s="162">
        <v>447</v>
      </c>
      <c r="Q104" s="162">
        <v>507</v>
      </c>
      <c r="R104" s="162">
        <v>0</v>
      </c>
      <c r="S104" s="160">
        <v>59.37222222222222</v>
      </c>
      <c r="T104" s="160">
        <v>80.516666666666666</v>
      </c>
      <c r="U104" s="160">
        <v>58.644444444444446</v>
      </c>
      <c r="V104" s="160">
        <v>77.694444444444443</v>
      </c>
      <c r="W104" s="160">
        <v>58.366666666666667</v>
      </c>
      <c r="X104" s="160">
        <v>54.961111111111109</v>
      </c>
      <c r="Y104" s="160">
        <v>54.111111111111114</v>
      </c>
      <c r="Z104" s="160">
        <v>25.627777777777776</v>
      </c>
      <c r="AA104" s="160">
        <v>21.088888888888889</v>
      </c>
      <c r="AB104" s="160">
        <v>0</v>
      </c>
      <c r="AC104" s="160">
        <v>0</v>
      </c>
      <c r="AD104" s="160">
        <v>0</v>
      </c>
      <c r="AE104" s="160">
        <v>0</v>
      </c>
      <c r="AF104" s="160">
        <v>384.29444444444448</v>
      </c>
      <c r="AG104" s="160">
        <v>46.716666666666669</v>
      </c>
      <c r="AH104" s="160">
        <v>0</v>
      </c>
      <c r="AI104" s="160">
        <v>490.38333333333333</v>
      </c>
      <c r="AJ104" s="160">
        <v>431.01111111111118</v>
      </c>
      <c r="AK104" s="160">
        <v>490.38333333333333</v>
      </c>
      <c r="AL104" s="161">
        <v>66.572222222222223</v>
      </c>
      <c r="AM104" s="161">
        <v>0</v>
      </c>
      <c r="AN104" s="161">
        <v>66.572222222222223</v>
      </c>
      <c r="AO104" s="161">
        <v>490.38333333333333</v>
      </c>
      <c r="AP104" s="162">
        <v>60</v>
      </c>
      <c r="AQ104" s="168">
        <v>81</v>
      </c>
      <c r="AR104" s="160">
        <v>75</v>
      </c>
      <c r="AS104" s="160">
        <v>59</v>
      </c>
      <c r="AT104" s="160">
        <v>59</v>
      </c>
      <c r="AU104" s="160">
        <v>56</v>
      </c>
      <c r="AV104" s="160">
        <v>48</v>
      </c>
      <c r="AW104" s="160">
        <v>28</v>
      </c>
      <c r="AX104" s="160">
        <v>13</v>
      </c>
      <c r="AY104" s="160">
        <v>0</v>
      </c>
      <c r="AZ104" s="160">
        <v>0</v>
      </c>
      <c r="BA104" s="160">
        <v>0</v>
      </c>
      <c r="BB104" s="160">
        <v>0</v>
      </c>
      <c r="BC104" s="160">
        <v>378</v>
      </c>
      <c r="BD104" s="160">
        <v>41</v>
      </c>
      <c r="BE104" s="160">
        <v>0</v>
      </c>
      <c r="BF104" s="160">
        <v>479</v>
      </c>
      <c r="BG104" s="160">
        <v>419</v>
      </c>
      <c r="BH104" s="160">
        <v>479</v>
      </c>
      <c r="BI104" s="160">
        <v>0</v>
      </c>
      <c r="BJ104" s="160">
        <v>60</v>
      </c>
      <c r="BK104" s="160">
        <v>0</v>
      </c>
      <c r="BL104" s="160">
        <v>4</v>
      </c>
      <c r="BM104" s="160">
        <v>66</v>
      </c>
      <c r="BN104" s="162">
        <v>1</v>
      </c>
      <c r="BO104" s="162">
        <v>67</v>
      </c>
      <c r="BP104" s="162">
        <v>17</v>
      </c>
      <c r="BQ104" s="163">
        <v>7.1875000000000078E-2</v>
      </c>
      <c r="BR104" s="164">
        <v>22.39</v>
      </c>
      <c r="BS104" s="164">
        <v>21.39</v>
      </c>
      <c r="BT104" s="164">
        <v>21.39</v>
      </c>
      <c r="BU104" s="164">
        <v>23.39</v>
      </c>
      <c r="BV104" s="165">
        <v>0</v>
      </c>
      <c r="BW104" s="165">
        <v>0</v>
      </c>
      <c r="BX104" s="166">
        <v>0</v>
      </c>
      <c r="BY104" s="166">
        <v>59.233333000000002</v>
      </c>
      <c r="BZ104" s="166">
        <v>0</v>
      </c>
      <c r="CA104" s="166">
        <v>59.233333333333334</v>
      </c>
      <c r="CB104" s="166">
        <v>76.349999999999994</v>
      </c>
      <c r="CC104" s="166">
        <v>73.233333333333334</v>
      </c>
      <c r="CD104" s="166">
        <v>58.538888888888891</v>
      </c>
      <c r="CE104" s="166">
        <v>58.06666666666667</v>
      </c>
      <c r="CF104" s="166">
        <v>49.37777777777778</v>
      </c>
      <c r="CG104" s="166">
        <v>44.43888888888889</v>
      </c>
      <c r="CH104" s="166">
        <v>25.122222222222224</v>
      </c>
      <c r="CI104" s="166">
        <v>9.5500000000000007</v>
      </c>
      <c r="CJ104" s="166">
        <v>0</v>
      </c>
      <c r="CK104" s="166">
        <v>0</v>
      </c>
      <c r="CL104" s="166">
        <v>0</v>
      </c>
      <c r="CM104" s="166">
        <v>0</v>
      </c>
      <c r="CN104" s="166">
        <v>360.00555555555553</v>
      </c>
      <c r="CO104" s="166">
        <v>34.672222222222224</v>
      </c>
      <c r="CP104" s="166">
        <v>0</v>
      </c>
      <c r="CQ104" s="166">
        <v>453.9111111111111</v>
      </c>
      <c r="CR104" s="166">
        <v>394.67777777777775</v>
      </c>
      <c r="CS104" s="166">
        <v>453.9111111111111</v>
      </c>
      <c r="CT104" s="166">
        <v>66.961111111111094</v>
      </c>
      <c r="CU104" s="166">
        <v>2.1333333333333302</v>
      </c>
      <c r="CV104" s="166">
        <v>69.09444444444442</v>
      </c>
      <c r="CW104" s="166">
        <v>456.04444444444442</v>
      </c>
      <c r="CX104" s="166">
        <v>0</v>
      </c>
      <c r="CY104" s="166">
        <v>0</v>
      </c>
      <c r="CZ104" s="165">
        <v>79</v>
      </c>
      <c r="DA104" s="165">
        <v>79</v>
      </c>
      <c r="DB104" s="165">
        <v>78</v>
      </c>
      <c r="DC104" s="165">
        <v>83</v>
      </c>
      <c r="DD104" s="165">
        <v>59</v>
      </c>
      <c r="DE104" s="165">
        <v>56</v>
      </c>
      <c r="DF104" s="165">
        <v>57</v>
      </c>
      <c r="DG104" s="165">
        <v>49</v>
      </c>
      <c r="DH104" s="165">
        <v>19</v>
      </c>
      <c r="DI104" s="165">
        <v>13</v>
      </c>
      <c r="DJ104" s="165">
        <v>0</v>
      </c>
      <c r="DK104" s="165">
        <v>0</v>
      </c>
      <c r="DL104" s="165">
        <v>0</v>
      </c>
      <c r="DM104" s="165">
        <v>0</v>
      </c>
      <c r="DN104" s="165">
        <v>382</v>
      </c>
      <c r="DO104" s="165">
        <v>32</v>
      </c>
      <c r="DP104" s="165">
        <v>0</v>
      </c>
      <c r="DQ104" s="165">
        <v>493</v>
      </c>
      <c r="DR104" s="165">
        <v>414</v>
      </c>
      <c r="DS104" s="165">
        <v>493</v>
      </c>
      <c r="DT104" s="165">
        <v>0</v>
      </c>
      <c r="DU104" s="165">
        <v>43</v>
      </c>
      <c r="DV104" s="165">
        <v>58</v>
      </c>
      <c r="DW104" s="165">
        <v>5</v>
      </c>
      <c r="DX104" s="165">
        <v>63</v>
      </c>
      <c r="DY104" s="165">
        <v>498</v>
      </c>
      <c r="DZ104" s="165">
        <v>9</v>
      </c>
      <c r="EA104" s="166">
        <v>23.202000000000002</v>
      </c>
      <c r="EB104" s="166">
        <v>23.202000000000002</v>
      </c>
      <c r="EC104" s="166">
        <v>19.655999999999999</v>
      </c>
      <c r="ED104" s="166">
        <v>1.1559999999999999</v>
      </c>
      <c r="EE104" s="166">
        <v>0</v>
      </c>
      <c r="EF104" s="166">
        <v>26.202000000000002</v>
      </c>
      <c r="EG104" s="167">
        <v>5.4445243230289986E-2</v>
      </c>
      <c r="EH104" s="165"/>
      <c r="EI104" s="165">
        <v>58</v>
      </c>
      <c r="EJ104" s="165">
        <v>432</v>
      </c>
      <c r="EK104" s="165">
        <v>387</v>
      </c>
      <c r="EL104" s="165">
        <v>45</v>
      </c>
      <c r="EM104" s="165">
        <v>0</v>
      </c>
      <c r="EN104" s="165">
        <v>490</v>
      </c>
      <c r="EO104" s="165">
        <v>0</v>
      </c>
      <c r="EP104" s="165">
        <v>67</v>
      </c>
      <c r="EQ104" s="165">
        <v>67</v>
      </c>
      <c r="ER104" s="165">
        <v>62</v>
      </c>
      <c r="ES104" s="165">
        <v>5</v>
      </c>
      <c r="ET104" s="165">
        <v>14</v>
      </c>
      <c r="EU104" s="166">
        <v>18.399999999999999</v>
      </c>
      <c r="EV104" s="166">
        <v>0</v>
      </c>
      <c r="EW104" s="166">
        <v>2.2999999999999998</v>
      </c>
      <c r="EX104" s="166">
        <v>0</v>
      </c>
      <c r="EY104" s="166">
        <v>1</v>
      </c>
      <c r="EZ104" s="166">
        <v>21.7</v>
      </c>
      <c r="FA104" s="166">
        <v>76.972222222222229</v>
      </c>
      <c r="FB104" s="166">
        <v>0</v>
      </c>
      <c r="FC104" s="166">
        <v>76.972222222222229</v>
      </c>
      <c r="FD104" s="166">
        <v>76.138888888888886</v>
      </c>
      <c r="FE104" s="166">
        <v>80.038888888888891</v>
      </c>
      <c r="FF104" s="166">
        <v>57.711111111111109</v>
      </c>
      <c r="FG104" s="166">
        <v>53.511111111111113</v>
      </c>
      <c r="FH104" s="166">
        <v>55.81666666666667</v>
      </c>
      <c r="FI104" s="166">
        <v>46.43333333333333</v>
      </c>
      <c r="FJ104" s="166">
        <v>18.033333333333335</v>
      </c>
      <c r="FK104" s="166">
        <v>11.744444444444444</v>
      </c>
      <c r="FL104" s="166">
        <v>0</v>
      </c>
      <c r="FM104" s="166">
        <v>0</v>
      </c>
      <c r="FN104" s="166">
        <v>0</v>
      </c>
      <c r="FO104" s="166">
        <v>0</v>
      </c>
      <c r="FP104" s="166">
        <v>369.65</v>
      </c>
      <c r="FQ104" s="166">
        <v>29.777777777777779</v>
      </c>
      <c r="FR104" s="166">
        <v>0</v>
      </c>
      <c r="FS104" s="166">
        <v>476.40000000000003</v>
      </c>
      <c r="FT104" s="166">
        <v>399.42777777777781</v>
      </c>
      <c r="FU104" s="166">
        <v>476.40000000000003</v>
      </c>
      <c r="FV104" s="166">
        <v>64.211111111111109</v>
      </c>
      <c r="FW104" s="166">
        <v>1.6666666666666667</v>
      </c>
      <c r="FX104" s="166">
        <v>65.87777777777778</v>
      </c>
      <c r="FY104" s="166">
        <v>478.06666666666672</v>
      </c>
      <c r="FZ104" s="165">
        <v>0</v>
      </c>
      <c r="GA104" s="165">
        <v>68</v>
      </c>
      <c r="GB104" s="165">
        <v>68</v>
      </c>
      <c r="GC104" s="165">
        <v>84</v>
      </c>
      <c r="GD104" s="165">
        <v>90</v>
      </c>
      <c r="GE104" s="165">
        <v>82</v>
      </c>
      <c r="GF104" s="165">
        <v>60</v>
      </c>
      <c r="GG104" s="165">
        <v>58</v>
      </c>
      <c r="GH104" s="165">
        <v>45</v>
      </c>
      <c r="GI104" s="165">
        <v>0</v>
      </c>
      <c r="GJ104" s="165">
        <v>0</v>
      </c>
      <c r="GK104" s="165">
        <v>0</v>
      </c>
      <c r="GL104" s="165">
        <v>0</v>
      </c>
      <c r="GM104" s="165">
        <v>0</v>
      </c>
      <c r="GN104" s="165">
        <v>0</v>
      </c>
      <c r="GO104" s="165">
        <v>419</v>
      </c>
      <c r="GP104" s="165">
        <v>0</v>
      </c>
      <c r="GQ104" s="165">
        <v>0</v>
      </c>
      <c r="GR104" s="165">
        <v>487</v>
      </c>
      <c r="GS104" s="165">
        <v>419</v>
      </c>
      <c r="GT104" s="165">
        <v>487</v>
      </c>
      <c r="GU104" s="165">
        <v>0</v>
      </c>
      <c r="GV104" s="165">
        <v>7</v>
      </c>
      <c r="GW104" s="165">
        <v>66</v>
      </c>
      <c r="GX104" s="165">
        <v>6</v>
      </c>
      <c r="GY104" s="165">
        <v>72</v>
      </c>
      <c r="GZ104" s="165">
        <v>493</v>
      </c>
      <c r="HA104" s="165">
        <v>7</v>
      </c>
      <c r="HB104" s="166">
        <v>26.625</v>
      </c>
      <c r="HC104" s="166">
        <v>26.625</v>
      </c>
      <c r="HD104" s="166">
        <v>24</v>
      </c>
      <c r="HE104" s="166">
        <v>0</v>
      </c>
      <c r="HF104" s="166"/>
      <c r="HG104" s="166">
        <v>28.625</v>
      </c>
      <c r="HH104" s="166">
        <v>0</v>
      </c>
      <c r="HI104" s="166">
        <v>73</v>
      </c>
      <c r="HJ104" s="166">
        <v>73</v>
      </c>
      <c r="HK104" s="166">
        <v>67</v>
      </c>
      <c r="HL104" s="166">
        <v>6</v>
      </c>
      <c r="HM104" s="166">
        <v>1</v>
      </c>
      <c r="HN104" s="166">
        <v>79</v>
      </c>
      <c r="HO104" s="166">
        <v>414</v>
      </c>
      <c r="HP104" s="166">
        <v>382</v>
      </c>
      <c r="HQ104" s="166">
        <v>32</v>
      </c>
      <c r="HR104" s="166">
        <v>0</v>
      </c>
      <c r="HS104" s="166">
        <v>493</v>
      </c>
      <c r="HT104" s="166">
        <f>FY26_FE_Data_April15[[#This Row],[Oct 1, 2026 (CDC) - K]]+FY26_FE_Data_April15[[#This Row],[Oct 1, 2026 (CDC) - Grades 1-6]]+FY26_FE_Data_April15[[#This Row],[Oct 1, 2026 (CDC) - Grades 7-8]]</f>
        <v>493</v>
      </c>
      <c r="HU104" s="166">
        <v>0</v>
      </c>
      <c r="HW104" s="170"/>
      <c r="HY104" s="170"/>
    </row>
    <row r="105" spans="1:233" ht="26">
      <c r="A105" s="158" t="s">
        <v>527</v>
      </c>
      <c r="B105" s="159" t="s">
        <v>528</v>
      </c>
      <c r="C105" s="160" t="s">
        <v>529</v>
      </c>
      <c r="D105" s="160" t="s">
        <v>139</v>
      </c>
      <c r="E105" s="159" t="s">
        <v>784</v>
      </c>
      <c r="F105" s="159" t="s">
        <v>784</v>
      </c>
      <c r="G105" s="159"/>
      <c r="H105" s="161">
        <v>57.094444444444441</v>
      </c>
      <c r="I105" s="161">
        <v>1</v>
      </c>
      <c r="J105" s="161">
        <v>58.094444444444441</v>
      </c>
      <c r="K105" s="162">
        <v>50</v>
      </c>
      <c r="L105" s="162">
        <v>308</v>
      </c>
      <c r="M105" s="162">
        <v>112</v>
      </c>
      <c r="N105" s="162">
        <v>56</v>
      </c>
      <c r="O105" s="162">
        <v>526</v>
      </c>
      <c r="P105" s="162">
        <v>476</v>
      </c>
      <c r="Q105" s="162">
        <v>470</v>
      </c>
      <c r="R105" s="162">
        <v>1</v>
      </c>
      <c r="S105" s="160">
        <v>49.616666666666667</v>
      </c>
      <c r="T105" s="160">
        <v>49.005555555555553</v>
      </c>
      <c r="U105" s="160">
        <v>49.894444444444446</v>
      </c>
      <c r="V105" s="160">
        <v>50.772222222222226</v>
      </c>
      <c r="W105" s="160">
        <v>51.9</v>
      </c>
      <c r="X105" s="160">
        <v>52.005555555555553</v>
      </c>
      <c r="Y105" s="160">
        <v>52.827777777777776</v>
      </c>
      <c r="Z105" s="160">
        <v>58.494444444444447</v>
      </c>
      <c r="AA105" s="160">
        <v>53.716666666666669</v>
      </c>
      <c r="AB105" s="160">
        <v>53.722222222222221</v>
      </c>
      <c r="AC105" s="160">
        <v>0</v>
      </c>
      <c r="AD105" s="160">
        <v>0</v>
      </c>
      <c r="AE105" s="160">
        <v>0</v>
      </c>
      <c r="AF105" s="160">
        <v>306.40555555555557</v>
      </c>
      <c r="AG105" s="160">
        <v>112.21111111111111</v>
      </c>
      <c r="AH105" s="160">
        <v>53.722222222222221</v>
      </c>
      <c r="AI105" s="160">
        <v>468.23333333333335</v>
      </c>
      <c r="AJ105" s="160">
        <v>472.3388888888889</v>
      </c>
      <c r="AK105" s="160">
        <v>521.95555555555552</v>
      </c>
      <c r="AL105" s="161">
        <v>50.038888888888891</v>
      </c>
      <c r="AM105" s="161">
        <v>1</v>
      </c>
      <c r="AN105" s="161">
        <v>51.038888888888891</v>
      </c>
      <c r="AO105" s="161">
        <v>522.95555555555552</v>
      </c>
      <c r="AP105" s="162">
        <v>50</v>
      </c>
      <c r="AQ105" s="168">
        <v>51</v>
      </c>
      <c r="AR105" s="160">
        <v>50</v>
      </c>
      <c r="AS105" s="160">
        <v>50</v>
      </c>
      <c r="AT105" s="160">
        <v>52</v>
      </c>
      <c r="AU105" s="160">
        <v>53</v>
      </c>
      <c r="AV105" s="160">
        <v>53</v>
      </c>
      <c r="AW105" s="160">
        <v>54</v>
      </c>
      <c r="AX105" s="160">
        <v>62</v>
      </c>
      <c r="AY105" s="160">
        <v>45</v>
      </c>
      <c r="AZ105" s="160">
        <v>0</v>
      </c>
      <c r="BA105" s="160">
        <v>0</v>
      </c>
      <c r="BB105" s="160">
        <v>0</v>
      </c>
      <c r="BC105" s="160">
        <v>309</v>
      </c>
      <c r="BD105" s="160">
        <v>116</v>
      </c>
      <c r="BE105" s="160">
        <v>45</v>
      </c>
      <c r="BF105" s="160">
        <v>475</v>
      </c>
      <c r="BG105" s="160">
        <v>470</v>
      </c>
      <c r="BH105" s="160">
        <v>520</v>
      </c>
      <c r="BI105" s="160">
        <v>36</v>
      </c>
      <c r="BJ105" s="160">
        <v>14</v>
      </c>
      <c r="BK105" s="160">
        <v>0</v>
      </c>
      <c r="BL105" s="160">
        <v>44</v>
      </c>
      <c r="BM105" s="160">
        <v>45</v>
      </c>
      <c r="BN105" s="162">
        <v>2</v>
      </c>
      <c r="BO105" s="162">
        <v>47</v>
      </c>
      <c r="BP105" s="162">
        <v>15</v>
      </c>
      <c r="BQ105" s="163">
        <v>7.7324469933959084E-2</v>
      </c>
      <c r="BR105" s="164">
        <v>29.785</v>
      </c>
      <c r="BS105" s="164">
        <v>28.285</v>
      </c>
      <c r="BT105" s="164">
        <v>28.285</v>
      </c>
      <c r="BU105" s="164">
        <v>29.785000000000004</v>
      </c>
      <c r="BV105" s="165">
        <v>0</v>
      </c>
      <c r="BW105" s="165">
        <v>0</v>
      </c>
      <c r="BX105" s="166">
        <v>0</v>
      </c>
      <c r="BY105" s="166">
        <v>13.316666</v>
      </c>
      <c r="BZ105" s="166">
        <v>36.161110999999998</v>
      </c>
      <c r="CA105" s="166">
        <v>49.477777777777774</v>
      </c>
      <c r="CB105" s="166">
        <v>49.894444444444446</v>
      </c>
      <c r="CC105" s="166">
        <v>48.93333333333333</v>
      </c>
      <c r="CD105" s="166">
        <v>49.972222222222221</v>
      </c>
      <c r="CE105" s="166">
        <v>52</v>
      </c>
      <c r="CF105" s="166">
        <v>52.633333333333333</v>
      </c>
      <c r="CG105" s="166">
        <v>53</v>
      </c>
      <c r="CH105" s="166">
        <v>52.255555555555553</v>
      </c>
      <c r="CI105" s="166">
        <v>61.777777777777779</v>
      </c>
      <c r="CJ105" s="166">
        <v>44.038888888888891</v>
      </c>
      <c r="CK105" s="166">
        <v>0</v>
      </c>
      <c r="CL105" s="166">
        <v>0</v>
      </c>
      <c r="CM105" s="166">
        <v>0</v>
      </c>
      <c r="CN105" s="166">
        <v>306.43333333333334</v>
      </c>
      <c r="CO105" s="166">
        <v>114.03333333333333</v>
      </c>
      <c r="CP105" s="166">
        <v>44.038888888888891</v>
      </c>
      <c r="CQ105" s="166">
        <v>469.9444444444444</v>
      </c>
      <c r="CR105" s="166">
        <v>464.50555555555553</v>
      </c>
      <c r="CS105" s="166">
        <v>513.98333333333335</v>
      </c>
      <c r="CT105" s="166">
        <v>45.2777777777778</v>
      </c>
      <c r="CU105" s="166">
        <v>2.5222222222222199</v>
      </c>
      <c r="CV105" s="166">
        <v>47.800000000000018</v>
      </c>
      <c r="CW105" s="166">
        <v>516.50555555555559</v>
      </c>
      <c r="CX105" s="166">
        <v>0</v>
      </c>
      <c r="CY105" s="166">
        <v>37</v>
      </c>
      <c r="CZ105" s="165">
        <v>14</v>
      </c>
      <c r="DA105" s="165">
        <v>51</v>
      </c>
      <c r="DB105" s="165">
        <v>50</v>
      </c>
      <c r="DC105" s="165">
        <v>50</v>
      </c>
      <c r="DD105" s="165">
        <v>50</v>
      </c>
      <c r="DE105" s="165">
        <v>52</v>
      </c>
      <c r="DF105" s="165">
        <v>52</v>
      </c>
      <c r="DG105" s="165">
        <v>54</v>
      </c>
      <c r="DH105" s="165">
        <v>49</v>
      </c>
      <c r="DI105" s="165">
        <v>52</v>
      </c>
      <c r="DJ105" s="165">
        <v>62</v>
      </c>
      <c r="DK105" s="165">
        <v>0</v>
      </c>
      <c r="DL105" s="165">
        <v>0</v>
      </c>
      <c r="DM105" s="165">
        <v>0</v>
      </c>
      <c r="DN105" s="165">
        <v>308</v>
      </c>
      <c r="DO105" s="165">
        <v>101</v>
      </c>
      <c r="DP105" s="165">
        <v>62</v>
      </c>
      <c r="DQ105" s="165">
        <v>460</v>
      </c>
      <c r="DR105" s="165">
        <v>471</v>
      </c>
      <c r="DS105" s="165">
        <v>522</v>
      </c>
      <c r="DT105" s="165">
        <v>0</v>
      </c>
      <c r="DU105" s="165">
        <v>35</v>
      </c>
      <c r="DV105" s="165">
        <v>38</v>
      </c>
      <c r="DW105" s="165">
        <v>4</v>
      </c>
      <c r="DX105" s="165">
        <v>42</v>
      </c>
      <c r="DY105" s="165">
        <v>526</v>
      </c>
      <c r="DZ105" s="165">
        <v>16</v>
      </c>
      <c r="EA105" s="166">
        <v>31.669</v>
      </c>
      <c r="EB105" s="166">
        <v>30.168999999999997</v>
      </c>
      <c r="EC105" s="166">
        <v>14.15</v>
      </c>
      <c r="ED105" s="166">
        <v>13.339000000000002</v>
      </c>
      <c r="EE105" s="166">
        <v>0</v>
      </c>
      <c r="EF105" s="166">
        <v>32.369</v>
      </c>
      <c r="EG105" s="167">
        <v>6.728826538925281E-2</v>
      </c>
      <c r="EH105" s="165"/>
      <c r="EI105" s="165">
        <v>50</v>
      </c>
      <c r="EJ105" s="165">
        <v>469</v>
      </c>
      <c r="EK105" s="165">
        <v>306</v>
      </c>
      <c r="EL105" s="165">
        <v>108</v>
      </c>
      <c r="EM105" s="165">
        <v>55</v>
      </c>
      <c r="EN105" s="165">
        <v>519</v>
      </c>
      <c r="EO105" s="165">
        <v>0</v>
      </c>
      <c r="EP105" s="165">
        <v>42</v>
      </c>
      <c r="EQ105" s="165">
        <v>42</v>
      </c>
      <c r="ER105" s="165">
        <v>39</v>
      </c>
      <c r="ES105" s="165">
        <v>3</v>
      </c>
      <c r="ET105" s="165">
        <v>1</v>
      </c>
      <c r="EU105" s="166">
        <v>11.725</v>
      </c>
      <c r="EV105" s="166">
        <v>0.625</v>
      </c>
      <c r="EW105" s="166">
        <v>2</v>
      </c>
      <c r="EX105" s="166">
        <v>0</v>
      </c>
      <c r="EY105" s="166">
        <v>4.9630000000000001</v>
      </c>
      <c r="EZ105" s="166">
        <v>19.312999999999999</v>
      </c>
      <c r="FA105" s="166">
        <v>14.972222222222221</v>
      </c>
      <c r="FB105" s="166">
        <v>34.966666666666669</v>
      </c>
      <c r="FC105" s="166">
        <v>49.93888888888889</v>
      </c>
      <c r="FD105" s="166">
        <v>49.911111111111111</v>
      </c>
      <c r="FE105" s="166">
        <v>49.972222222222221</v>
      </c>
      <c r="FF105" s="166">
        <v>48.788888888888891</v>
      </c>
      <c r="FG105" s="166">
        <v>52</v>
      </c>
      <c r="FH105" s="166">
        <v>51.977777777777774</v>
      </c>
      <c r="FI105" s="166">
        <v>53.866666666666667</v>
      </c>
      <c r="FJ105" s="166">
        <v>51.133333333333333</v>
      </c>
      <c r="FK105" s="166">
        <v>50.3</v>
      </c>
      <c r="FL105" s="166">
        <v>62.016666666666666</v>
      </c>
      <c r="FM105" s="166">
        <v>0</v>
      </c>
      <c r="FN105" s="166">
        <v>0</v>
      </c>
      <c r="FO105" s="166">
        <v>0</v>
      </c>
      <c r="FP105" s="166">
        <v>306.51666666666665</v>
      </c>
      <c r="FQ105" s="166">
        <v>101.43333333333334</v>
      </c>
      <c r="FR105" s="166">
        <v>62.016666666666666</v>
      </c>
      <c r="FS105" s="166">
        <v>457.88888888888891</v>
      </c>
      <c r="FT105" s="166">
        <v>469.96666666666664</v>
      </c>
      <c r="FU105" s="166">
        <v>519.90555555555557</v>
      </c>
      <c r="FV105" s="166">
        <v>40.511111111111113</v>
      </c>
      <c r="FW105" s="166">
        <v>2</v>
      </c>
      <c r="FX105" s="166">
        <v>42.511111111111113</v>
      </c>
      <c r="FY105" s="166">
        <v>521.90555555555557</v>
      </c>
      <c r="FZ105" s="165">
        <v>11</v>
      </c>
      <c r="GA105" s="165">
        <v>38</v>
      </c>
      <c r="GB105" s="165">
        <v>49</v>
      </c>
      <c r="GC105" s="165">
        <v>49</v>
      </c>
      <c r="GD105" s="165">
        <v>51</v>
      </c>
      <c r="GE105" s="165">
        <v>50</v>
      </c>
      <c r="GF105" s="165">
        <v>52</v>
      </c>
      <c r="GG105" s="165">
        <v>52</v>
      </c>
      <c r="GH105" s="165">
        <v>55</v>
      </c>
      <c r="GI105" s="165">
        <v>65</v>
      </c>
      <c r="GJ105" s="165">
        <v>56</v>
      </c>
      <c r="GK105" s="165">
        <v>41</v>
      </c>
      <c r="GL105" s="165">
        <v>0</v>
      </c>
      <c r="GM105" s="165">
        <v>0</v>
      </c>
      <c r="GN105" s="165">
        <v>0</v>
      </c>
      <c r="GO105" s="165">
        <v>309</v>
      </c>
      <c r="GP105" s="165">
        <v>121</v>
      </c>
      <c r="GQ105" s="165">
        <v>41</v>
      </c>
      <c r="GR105" s="165">
        <v>479</v>
      </c>
      <c r="GS105" s="165">
        <v>471</v>
      </c>
      <c r="GT105" s="165">
        <v>520</v>
      </c>
      <c r="GU105" s="165">
        <v>0</v>
      </c>
      <c r="GV105" s="165">
        <v>41</v>
      </c>
      <c r="GW105" s="165">
        <v>41</v>
      </c>
      <c r="GX105" s="165">
        <v>2</v>
      </c>
      <c r="GY105" s="165">
        <v>43</v>
      </c>
      <c r="GZ105" s="165">
        <v>522</v>
      </c>
      <c r="HA105" s="165">
        <v>17</v>
      </c>
      <c r="HB105" s="166">
        <v>32.551000000000002</v>
      </c>
      <c r="HC105" s="166">
        <v>30.800999999999998</v>
      </c>
      <c r="HD105" s="166">
        <v>15.225</v>
      </c>
      <c r="HE105" s="166">
        <v>12.279999999999998</v>
      </c>
      <c r="HF105" s="166"/>
      <c r="HG105" s="166">
        <v>32.9</v>
      </c>
      <c r="HH105" s="166">
        <v>0</v>
      </c>
      <c r="HI105" s="166">
        <v>41</v>
      </c>
      <c r="HJ105" s="166">
        <v>41</v>
      </c>
      <c r="HK105" s="166">
        <v>39</v>
      </c>
      <c r="HL105" s="166">
        <v>2</v>
      </c>
      <c r="HM105" s="166">
        <v>3</v>
      </c>
      <c r="HN105" s="166">
        <v>51</v>
      </c>
      <c r="HO105" s="166">
        <v>472</v>
      </c>
      <c r="HP105" s="166">
        <v>308</v>
      </c>
      <c r="HQ105" s="166">
        <v>106</v>
      </c>
      <c r="HR105" s="166">
        <v>58</v>
      </c>
      <c r="HS105" s="166">
        <v>523</v>
      </c>
      <c r="HT105" s="166">
        <f>FY26_FE_Data_April15[[#This Row],[Oct 1, 2026 (CDC) - K]]+FY26_FE_Data_April15[[#This Row],[Oct 1, 2026 (CDC) - Grades 1-6]]+FY26_FE_Data_April15[[#This Row],[Oct 1, 2026 (CDC) - Grades 7-8]]</f>
        <v>465</v>
      </c>
      <c r="HU105" s="166">
        <v>0</v>
      </c>
      <c r="HW105" s="170"/>
      <c r="HY105" s="170"/>
    </row>
    <row r="106" spans="1:233" ht="39">
      <c r="A106" s="158" t="s">
        <v>530</v>
      </c>
      <c r="B106" s="159" t="s">
        <v>531</v>
      </c>
      <c r="C106" s="160" t="s">
        <v>532</v>
      </c>
      <c r="D106" s="160" t="s">
        <v>139</v>
      </c>
      <c r="E106" s="159" t="s">
        <v>784</v>
      </c>
      <c r="F106" s="159" t="s">
        <v>784</v>
      </c>
      <c r="G106" s="159"/>
      <c r="H106" s="161">
        <v>130.87222222222223</v>
      </c>
      <c r="I106" s="161">
        <v>7.7444444444444445</v>
      </c>
      <c r="J106" s="161">
        <v>138.61666666666667</v>
      </c>
      <c r="K106" s="162">
        <v>121</v>
      </c>
      <c r="L106" s="162">
        <v>563</v>
      </c>
      <c r="M106" s="162">
        <v>170</v>
      </c>
      <c r="N106" s="162">
        <v>86</v>
      </c>
      <c r="O106" s="162">
        <v>940</v>
      </c>
      <c r="P106" s="162">
        <v>819</v>
      </c>
      <c r="Q106" s="162">
        <v>854</v>
      </c>
      <c r="R106" s="162">
        <v>9</v>
      </c>
      <c r="S106" s="160">
        <v>119.35555555555555</v>
      </c>
      <c r="T106" s="160">
        <v>87.661111111111111</v>
      </c>
      <c r="U106" s="160">
        <v>96.266666666666666</v>
      </c>
      <c r="V106" s="160">
        <v>91.327777777777783</v>
      </c>
      <c r="W106" s="160">
        <v>98.738888888888894</v>
      </c>
      <c r="X106" s="160">
        <v>97.761111111111106</v>
      </c>
      <c r="Y106" s="160">
        <v>92.277777777777771</v>
      </c>
      <c r="Z106" s="160">
        <v>93.988888888888894</v>
      </c>
      <c r="AA106" s="160">
        <v>76.711111111111109</v>
      </c>
      <c r="AB106" s="160">
        <v>84.422222222222217</v>
      </c>
      <c r="AC106" s="160">
        <v>0</v>
      </c>
      <c r="AD106" s="160">
        <v>0</v>
      </c>
      <c r="AE106" s="160">
        <v>0</v>
      </c>
      <c r="AF106" s="160">
        <v>564.0333333333333</v>
      </c>
      <c r="AG106" s="160">
        <v>170.7</v>
      </c>
      <c r="AH106" s="160">
        <v>84.422222222222217</v>
      </c>
      <c r="AI106" s="160">
        <v>854.08888888888896</v>
      </c>
      <c r="AJ106" s="160">
        <v>819.15555555555557</v>
      </c>
      <c r="AK106" s="160">
        <v>938.51111111111118</v>
      </c>
      <c r="AL106" s="161">
        <v>128.82777777777778</v>
      </c>
      <c r="AM106" s="161">
        <v>7.9222222222222225</v>
      </c>
      <c r="AN106" s="161">
        <v>136.75</v>
      </c>
      <c r="AO106" s="161">
        <v>946.43333333333339</v>
      </c>
      <c r="AP106" s="162">
        <v>115</v>
      </c>
      <c r="AQ106" s="168">
        <v>115</v>
      </c>
      <c r="AR106" s="160">
        <v>91</v>
      </c>
      <c r="AS106" s="160">
        <v>101</v>
      </c>
      <c r="AT106" s="160">
        <v>105</v>
      </c>
      <c r="AU106" s="160">
        <v>98</v>
      </c>
      <c r="AV106" s="160">
        <v>98</v>
      </c>
      <c r="AW106" s="160">
        <v>103</v>
      </c>
      <c r="AX106" s="160">
        <v>91</v>
      </c>
      <c r="AY106" s="160">
        <v>69</v>
      </c>
      <c r="AZ106" s="160">
        <v>0</v>
      </c>
      <c r="BA106" s="160">
        <v>0</v>
      </c>
      <c r="BB106" s="160">
        <v>0</v>
      </c>
      <c r="BC106" s="160">
        <v>608</v>
      </c>
      <c r="BD106" s="160">
        <v>194</v>
      </c>
      <c r="BE106" s="160">
        <v>69</v>
      </c>
      <c r="BF106" s="160">
        <v>917</v>
      </c>
      <c r="BG106" s="160">
        <v>871</v>
      </c>
      <c r="BH106" s="160">
        <v>986</v>
      </c>
      <c r="BI106" s="160">
        <v>100</v>
      </c>
      <c r="BJ106" s="160">
        <v>15</v>
      </c>
      <c r="BK106" s="160">
        <v>0</v>
      </c>
      <c r="BL106" s="160">
        <v>204</v>
      </c>
      <c r="BM106" s="160">
        <v>144</v>
      </c>
      <c r="BN106" s="162">
        <v>5</v>
      </c>
      <c r="BO106" s="162">
        <v>149</v>
      </c>
      <c r="BP106" s="162">
        <v>56</v>
      </c>
      <c r="BQ106" s="163">
        <v>6.5723947125729987E-2</v>
      </c>
      <c r="BR106" s="164">
        <v>60.515999999999998</v>
      </c>
      <c r="BS106" s="164">
        <v>58.515999999999998</v>
      </c>
      <c r="BT106" s="164">
        <v>57.515999999999998</v>
      </c>
      <c r="BU106" s="164">
        <v>59.515999999999998</v>
      </c>
      <c r="BV106" s="165">
        <v>0</v>
      </c>
      <c r="BW106" s="165">
        <v>0</v>
      </c>
      <c r="BX106" s="166">
        <v>0</v>
      </c>
      <c r="BY106" s="166">
        <v>3.0055550000000002</v>
      </c>
      <c r="BZ106" s="166">
        <v>111.483333</v>
      </c>
      <c r="CA106" s="166">
        <v>114.48888888888889</v>
      </c>
      <c r="CB106" s="166">
        <v>114.29444444444445</v>
      </c>
      <c r="CC106" s="166">
        <v>90.011111111111106</v>
      </c>
      <c r="CD106" s="166">
        <v>100.92777777777778</v>
      </c>
      <c r="CE106" s="166">
        <v>106.67222222222222</v>
      </c>
      <c r="CF106" s="166">
        <v>100.10555555555555</v>
      </c>
      <c r="CG106" s="166">
        <v>94.861111111111114</v>
      </c>
      <c r="CH106" s="166">
        <v>101.46111111111111</v>
      </c>
      <c r="CI106" s="166">
        <v>86.9</v>
      </c>
      <c r="CJ106" s="166">
        <v>67.916666666666671</v>
      </c>
      <c r="CK106" s="166">
        <v>0</v>
      </c>
      <c r="CL106" s="166">
        <v>0</v>
      </c>
      <c r="CM106" s="166">
        <v>0</v>
      </c>
      <c r="CN106" s="166">
        <v>606.87222222222226</v>
      </c>
      <c r="CO106" s="166">
        <v>188.36111111111111</v>
      </c>
      <c r="CP106" s="166">
        <v>67.916666666666671</v>
      </c>
      <c r="CQ106" s="166">
        <v>909.72222222222217</v>
      </c>
      <c r="CR106" s="166">
        <v>863.15</v>
      </c>
      <c r="CS106" s="166">
        <v>977.6388888888888</v>
      </c>
      <c r="CT106" s="166">
        <v>144.80000000000001</v>
      </c>
      <c r="CU106" s="166">
        <v>5.6722222222222198</v>
      </c>
      <c r="CV106" s="166">
        <v>150.47222222222223</v>
      </c>
      <c r="CW106" s="166">
        <v>983.31111111111102</v>
      </c>
      <c r="CX106" s="166">
        <v>0</v>
      </c>
      <c r="CY106" s="166">
        <v>98</v>
      </c>
      <c r="CZ106" s="165">
        <v>5</v>
      </c>
      <c r="DA106" s="165">
        <v>103</v>
      </c>
      <c r="DB106" s="165">
        <v>107</v>
      </c>
      <c r="DC106" s="165">
        <v>118</v>
      </c>
      <c r="DD106" s="165">
        <v>97</v>
      </c>
      <c r="DE106" s="165">
        <v>105</v>
      </c>
      <c r="DF106" s="165">
        <v>120</v>
      </c>
      <c r="DG106" s="165">
        <v>114</v>
      </c>
      <c r="DH106" s="165">
        <v>75</v>
      </c>
      <c r="DI106" s="165">
        <v>101</v>
      </c>
      <c r="DJ106" s="165">
        <v>80</v>
      </c>
      <c r="DK106" s="165">
        <v>0</v>
      </c>
      <c r="DL106" s="165">
        <v>0</v>
      </c>
      <c r="DM106" s="165">
        <v>0</v>
      </c>
      <c r="DN106" s="165">
        <v>661</v>
      </c>
      <c r="DO106" s="165">
        <v>176</v>
      </c>
      <c r="DP106" s="165">
        <v>80</v>
      </c>
      <c r="DQ106" s="165">
        <v>940</v>
      </c>
      <c r="DR106" s="165">
        <v>917</v>
      </c>
      <c r="DS106" s="165">
        <v>1020</v>
      </c>
      <c r="DT106" s="165">
        <v>0</v>
      </c>
      <c r="DU106" s="165">
        <v>184</v>
      </c>
      <c r="DV106" s="165">
        <v>146</v>
      </c>
      <c r="DW106" s="165">
        <v>4</v>
      </c>
      <c r="DX106" s="165">
        <v>150</v>
      </c>
      <c r="DY106" s="165">
        <v>1024</v>
      </c>
      <c r="DZ106" s="165">
        <v>59</v>
      </c>
      <c r="EA106" s="166">
        <v>59.603999999999999</v>
      </c>
      <c r="EB106" s="166">
        <v>57.603999999999999</v>
      </c>
      <c r="EC106" s="166">
        <v>32.618000000000002</v>
      </c>
      <c r="ED106" s="166">
        <v>21.812999999999999</v>
      </c>
      <c r="EE106" s="166">
        <v>0</v>
      </c>
      <c r="EF106" s="166">
        <v>59.603999999999999</v>
      </c>
      <c r="EG106" s="167">
        <v>7.4659732922444877E-2</v>
      </c>
      <c r="EH106" s="165"/>
      <c r="EI106" s="165">
        <v>118</v>
      </c>
      <c r="EJ106" s="165">
        <v>893</v>
      </c>
      <c r="EK106" s="165">
        <v>623</v>
      </c>
      <c r="EL106" s="165">
        <v>199</v>
      </c>
      <c r="EM106" s="165">
        <v>71</v>
      </c>
      <c r="EN106" s="165">
        <v>1011</v>
      </c>
      <c r="EO106" s="165">
        <v>0</v>
      </c>
      <c r="EP106" s="165">
        <v>144</v>
      </c>
      <c r="EQ106" s="165">
        <v>144</v>
      </c>
      <c r="ER106" s="165">
        <v>140</v>
      </c>
      <c r="ES106" s="165">
        <v>4</v>
      </c>
      <c r="ET106" s="165">
        <v>12</v>
      </c>
      <c r="EU106" s="166">
        <v>18.225000000000001</v>
      </c>
      <c r="EV106" s="166">
        <v>0</v>
      </c>
      <c r="EW106" s="166">
        <v>6.7249999999999996</v>
      </c>
      <c r="EX106" s="166">
        <v>0</v>
      </c>
      <c r="EY106" s="166">
        <v>0</v>
      </c>
      <c r="EZ106" s="166">
        <v>24.950000000000003</v>
      </c>
      <c r="FA106" s="166">
        <v>1.1499999999999999</v>
      </c>
      <c r="FB106" s="166">
        <v>100.15</v>
      </c>
      <c r="FC106" s="166">
        <v>101.3</v>
      </c>
      <c r="FD106" s="166">
        <v>106.19444444444444</v>
      </c>
      <c r="FE106" s="166">
        <v>114.25</v>
      </c>
      <c r="FF106" s="166">
        <v>96.688888888888883</v>
      </c>
      <c r="FG106" s="166">
        <v>101.37777777777778</v>
      </c>
      <c r="FH106" s="166">
        <v>116.1</v>
      </c>
      <c r="FI106" s="166">
        <v>113.30555555555556</v>
      </c>
      <c r="FJ106" s="166">
        <v>74.650000000000006</v>
      </c>
      <c r="FK106" s="166">
        <v>99.338888888888889</v>
      </c>
      <c r="FL106" s="166">
        <v>76.861111111111114</v>
      </c>
      <c r="FM106" s="166">
        <v>0</v>
      </c>
      <c r="FN106" s="166">
        <v>0</v>
      </c>
      <c r="FO106" s="166">
        <v>0</v>
      </c>
      <c r="FP106" s="166">
        <v>647.91666666666663</v>
      </c>
      <c r="FQ106" s="166">
        <v>173.98888888888888</v>
      </c>
      <c r="FR106" s="166">
        <v>76.861111111111114</v>
      </c>
      <c r="FS106" s="166">
        <v>923.20555555555541</v>
      </c>
      <c r="FT106" s="166">
        <v>898.76666666666654</v>
      </c>
      <c r="FU106" s="166">
        <v>1000.0666666666665</v>
      </c>
      <c r="FV106" s="166">
        <v>142.40555555555557</v>
      </c>
      <c r="FW106" s="166">
        <v>4.4944444444444445</v>
      </c>
      <c r="FX106" s="166">
        <v>146.9</v>
      </c>
      <c r="FY106" s="166">
        <v>1004.5611111111109</v>
      </c>
      <c r="FZ106" s="165">
        <v>10</v>
      </c>
      <c r="GA106" s="165">
        <v>91</v>
      </c>
      <c r="GB106" s="165">
        <v>101</v>
      </c>
      <c r="GC106" s="165">
        <v>91</v>
      </c>
      <c r="GD106" s="165">
        <v>102</v>
      </c>
      <c r="GE106" s="165">
        <v>112</v>
      </c>
      <c r="GF106" s="165">
        <v>87</v>
      </c>
      <c r="GG106" s="165">
        <v>99</v>
      </c>
      <c r="GH106" s="165">
        <v>109</v>
      </c>
      <c r="GI106" s="165">
        <v>111</v>
      </c>
      <c r="GJ106" s="165">
        <v>72</v>
      </c>
      <c r="GK106" s="165">
        <v>74</v>
      </c>
      <c r="GL106" s="165">
        <v>0</v>
      </c>
      <c r="GM106" s="165">
        <v>0</v>
      </c>
      <c r="GN106" s="165">
        <v>0</v>
      </c>
      <c r="GO106" s="165">
        <v>600</v>
      </c>
      <c r="GP106" s="165">
        <v>183</v>
      </c>
      <c r="GQ106" s="165">
        <v>74</v>
      </c>
      <c r="GR106" s="165">
        <v>884</v>
      </c>
      <c r="GS106" s="165">
        <v>857</v>
      </c>
      <c r="GT106" s="165">
        <v>958</v>
      </c>
      <c r="GU106" s="165">
        <v>0</v>
      </c>
      <c r="GV106" s="165">
        <v>152</v>
      </c>
      <c r="GW106" s="165">
        <v>124</v>
      </c>
      <c r="GX106" s="165">
        <v>3</v>
      </c>
      <c r="GY106" s="165">
        <v>127</v>
      </c>
      <c r="GZ106" s="165">
        <v>961</v>
      </c>
      <c r="HA106" s="165">
        <v>73</v>
      </c>
      <c r="HB106" s="166">
        <v>59.06</v>
      </c>
      <c r="HC106" s="166">
        <v>57.06</v>
      </c>
      <c r="HD106" s="166">
        <v>33.709000000000003</v>
      </c>
      <c r="HE106" s="166">
        <v>19.626000000000001</v>
      </c>
      <c r="HF106" s="166"/>
      <c r="HG106" s="166">
        <v>59.06</v>
      </c>
      <c r="HH106" s="166">
        <v>0</v>
      </c>
      <c r="HI106" s="166">
        <v>124</v>
      </c>
      <c r="HJ106" s="166">
        <v>124</v>
      </c>
      <c r="HK106" s="166">
        <v>121</v>
      </c>
      <c r="HL106" s="166">
        <v>3</v>
      </c>
      <c r="HM106" s="166">
        <v>8</v>
      </c>
      <c r="HN106" s="166">
        <v>100</v>
      </c>
      <c r="HO106" s="166">
        <v>859</v>
      </c>
      <c r="HP106" s="166">
        <v>600</v>
      </c>
      <c r="HQ106" s="166">
        <v>184</v>
      </c>
      <c r="HR106" s="166">
        <v>75</v>
      </c>
      <c r="HS106" s="166">
        <v>959</v>
      </c>
      <c r="HT106" s="166">
        <f>FY26_FE_Data_April15[[#This Row],[Oct 1, 2026 (CDC) - K]]+FY26_FE_Data_April15[[#This Row],[Oct 1, 2026 (CDC) - Grades 1-6]]+FY26_FE_Data_April15[[#This Row],[Oct 1, 2026 (CDC) - Grades 7-8]]</f>
        <v>884</v>
      </c>
      <c r="HU106" s="166">
        <v>0</v>
      </c>
      <c r="HW106" s="170"/>
      <c r="HY106" s="170"/>
    </row>
    <row r="107" spans="1:233" ht="39">
      <c r="A107" s="158" t="s">
        <v>533</v>
      </c>
      <c r="B107" s="159" t="s">
        <v>534</v>
      </c>
      <c r="C107" s="160" t="s">
        <v>535</v>
      </c>
      <c r="D107" s="160" t="s">
        <v>139</v>
      </c>
      <c r="E107" s="159" t="s">
        <v>784</v>
      </c>
      <c r="F107" s="159" t="s">
        <v>784</v>
      </c>
      <c r="G107" s="159"/>
      <c r="H107" s="161">
        <v>73.311111111111117</v>
      </c>
      <c r="I107" s="161">
        <v>7.916666666666667</v>
      </c>
      <c r="J107" s="161">
        <v>81.227777777777789</v>
      </c>
      <c r="K107" s="162">
        <v>133</v>
      </c>
      <c r="L107" s="162">
        <v>771</v>
      </c>
      <c r="M107" s="162">
        <v>99</v>
      </c>
      <c r="N107" s="162">
        <v>0</v>
      </c>
      <c r="O107" s="162">
        <v>1003</v>
      </c>
      <c r="P107" s="162">
        <v>870</v>
      </c>
      <c r="Q107" s="162">
        <v>1003</v>
      </c>
      <c r="R107" s="162">
        <v>12</v>
      </c>
      <c r="S107" s="160">
        <v>123.78333333333333</v>
      </c>
      <c r="T107" s="160">
        <v>128.11111111111111</v>
      </c>
      <c r="U107" s="160">
        <v>137.37777777777777</v>
      </c>
      <c r="V107" s="160">
        <v>137.5611111111111</v>
      </c>
      <c r="W107" s="160">
        <v>117.74444444444444</v>
      </c>
      <c r="X107" s="160">
        <v>131.75</v>
      </c>
      <c r="Y107" s="160">
        <v>103.41111111111111</v>
      </c>
      <c r="Z107" s="160">
        <v>98.277777777777771</v>
      </c>
      <c r="AA107" s="160">
        <v>0</v>
      </c>
      <c r="AB107" s="160">
        <v>0</v>
      </c>
      <c r="AC107" s="160">
        <v>0</v>
      </c>
      <c r="AD107" s="160">
        <v>0</v>
      </c>
      <c r="AE107" s="160">
        <v>0</v>
      </c>
      <c r="AF107" s="160">
        <v>755.95555555555552</v>
      </c>
      <c r="AG107" s="160">
        <v>98.277777777777771</v>
      </c>
      <c r="AH107" s="160">
        <v>0</v>
      </c>
      <c r="AI107" s="160">
        <v>978.01666666666665</v>
      </c>
      <c r="AJ107" s="160">
        <v>854.23333333333335</v>
      </c>
      <c r="AK107" s="160">
        <v>978.01666666666665</v>
      </c>
      <c r="AL107" s="161">
        <v>78.361111111111114</v>
      </c>
      <c r="AM107" s="161">
        <v>13.661111111111111</v>
      </c>
      <c r="AN107" s="161">
        <v>92.022222222222226</v>
      </c>
      <c r="AO107" s="161">
        <v>991.67777777777781</v>
      </c>
      <c r="AP107" s="162">
        <v>135</v>
      </c>
      <c r="AQ107" s="168">
        <v>133</v>
      </c>
      <c r="AR107" s="160">
        <v>131</v>
      </c>
      <c r="AS107" s="160">
        <v>135</v>
      </c>
      <c r="AT107" s="160">
        <v>130</v>
      </c>
      <c r="AU107" s="160">
        <v>121</v>
      </c>
      <c r="AV107" s="160">
        <v>115</v>
      </c>
      <c r="AW107" s="160">
        <v>96</v>
      </c>
      <c r="AX107" s="160">
        <v>0</v>
      </c>
      <c r="AY107" s="160">
        <v>0</v>
      </c>
      <c r="AZ107" s="160">
        <v>0</v>
      </c>
      <c r="BA107" s="160">
        <v>0</v>
      </c>
      <c r="BB107" s="160">
        <v>0</v>
      </c>
      <c r="BC107" s="160">
        <v>765</v>
      </c>
      <c r="BD107" s="160">
        <v>96</v>
      </c>
      <c r="BE107" s="160">
        <v>0</v>
      </c>
      <c r="BF107" s="160">
        <v>996</v>
      </c>
      <c r="BG107" s="160">
        <v>861</v>
      </c>
      <c r="BH107" s="160">
        <v>996</v>
      </c>
      <c r="BI107" s="160">
        <v>135</v>
      </c>
      <c r="BJ107" s="160">
        <v>0</v>
      </c>
      <c r="BK107" s="160">
        <v>0</v>
      </c>
      <c r="BL107" s="160">
        <v>231</v>
      </c>
      <c r="BM107" s="160">
        <v>89</v>
      </c>
      <c r="BN107" s="162">
        <v>15</v>
      </c>
      <c r="BO107" s="162">
        <v>104</v>
      </c>
      <c r="BP107" s="162">
        <v>27</v>
      </c>
      <c r="BQ107" s="163">
        <v>6.2838491295938215E-2</v>
      </c>
      <c r="BR107" s="164">
        <v>55.625</v>
      </c>
      <c r="BS107" s="164">
        <v>51.625</v>
      </c>
      <c r="BT107" s="164">
        <v>47.625</v>
      </c>
      <c r="BU107" s="164">
        <v>53.625</v>
      </c>
      <c r="BV107" s="165">
        <v>0</v>
      </c>
      <c r="BW107" s="165">
        <v>0</v>
      </c>
      <c r="BX107" s="166">
        <v>0</v>
      </c>
      <c r="BY107" s="166">
        <v>0</v>
      </c>
      <c r="BZ107" s="166">
        <v>129.36666600000001</v>
      </c>
      <c r="CA107" s="166">
        <v>129.36666666666667</v>
      </c>
      <c r="CB107" s="166">
        <v>130.95555555555555</v>
      </c>
      <c r="CC107" s="166">
        <v>131.75555555555556</v>
      </c>
      <c r="CD107" s="166">
        <v>136.32777777777778</v>
      </c>
      <c r="CE107" s="166">
        <v>131.30555555555554</v>
      </c>
      <c r="CF107" s="166">
        <v>117.24444444444444</v>
      </c>
      <c r="CG107" s="166">
        <v>118.17222222222222</v>
      </c>
      <c r="CH107" s="166">
        <v>93.611111111111114</v>
      </c>
      <c r="CI107" s="166">
        <v>0</v>
      </c>
      <c r="CJ107" s="166">
        <v>0</v>
      </c>
      <c r="CK107" s="166">
        <v>0</v>
      </c>
      <c r="CL107" s="166">
        <v>0</v>
      </c>
      <c r="CM107" s="166">
        <v>0</v>
      </c>
      <c r="CN107" s="166">
        <v>765.76111111111106</v>
      </c>
      <c r="CO107" s="166">
        <v>93.611111111111114</v>
      </c>
      <c r="CP107" s="166">
        <v>0</v>
      </c>
      <c r="CQ107" s="166">
        <v>988.73888888888882</v>
      </c>
      <c r="CR107" s="166">
        <v>859.37222222222215</v>
      </c>
      <c r="CS107" s="166">
        <v>988.73888888888882</v>
      </c>
      <c r="CT107" s="166">
        <v>93.072222222222194</v>
      </c>
      <c r="CU107" s="166">
        <v>14.494444444444399</v>
      </c>
      <c r="CV107" s="166">
        <v>107.56666666666659</v>
      </c>
      <c r="CW107" s="166">
        <v>1003.2333333333332</v>
      </c>
      <c r="CX107" s="166">
        <v>0</v>
      </c>
      <c r="CY107" s="166">
        <v>140</v>
      </c>
      <c r="CZ107" s="165">
        <v>0</v>
      </c>
      <c r="DA107" s="165">
        <v>140</v>
      </c>
      <c r="DB107" s="165">
        <v>136</v>
      </c>
      <c r="DC107" s="165">
        <v>138</v>
      </c>
      <c r="DD107" s="165">
        <v>135</v>
      </c>
      <c r="DE107" s="165">
        <v>140</v>
      </c>
      <c r="DF107" s="165">
        <v>125</v>
      </c>
      <c r="DG107" s="165">
        <v>105</v>
      </c>
      <c r="DH107" s="165">
        <v>95</v>
      </c>
      <c r="DI107" s="165">
        <v>0</v>
      </c>
      <c r="DJ107" s="165">
        <v>0</v>
      </c>
      <c r="DK107" s="165">
        <v>0</v>
      </c>
      <c r="DL107" s="165">
        <v>0</v>
      </c>
      <c r="DM107" s="165">
        <v>0</v>
      </c>
      <c r="DN107" s="165">
        <v>779</v>
      </c>
      <c r="DO107" s="165">
        <v>95</v>
      </c>
      <c r="DP107" s="165">
        <v>0</v>
      </c>
      <c r="DQ107" s="165">
        <v>1014</v>
      </c>
      <c r="DR107" s="165">
        <v>874</v>
      </c>
      <c r="DS107" s="165">
        <v>1014</v>
      </c>
      <c r="DT107" s="165">
        <v>0</v>
      </c>
      <c r="DU107" s="165">
        <v>193</v>
      </c>
      <c r="DV107" s="165">
        <v>117</v>
      </c>
      <c r="DW107" s="165">
        <v>15</v>
      </c>
      <c r="DX107" s="165">
        <v>132</v>
      </c>
      <c r="DY107" s="165">
        <v>1029</v>
      </c>
      <c r="DZ107" s="165">
        <v>52</v>
      </c>
      <c r="EA107" s="166">
        <v>55</v>
      </c>
      <c r="EB107" s="166">
        <v>51</v>
      </c>
      <c r="EC107" s="166">
        <v>39.799999999999997</v>
      </c>
      <c r="ED107" s="166">
        <v>5.2</v>
      </c>
      <c r="EE107" s="166">
        <v>0</v>
      </c>
      <c r="EF107" s="166">
        <v>55</v>
      </c>
      <c r="EG107" s="167">
        <v>5.9178687761749726E-2</v>
      </c>
      <c r="EH107" s="165"/>
      <c r="EI107" s="165">
        <v>139</v>
      </c>
      <c r="EJ107" s="165">
        <v>872</v>
      </c>
      <c r="EK107" s="165">
        <v>774</v>
      </c>
      <c r="EL107" s="165">
        <v>98</v>
      </c>
      <c r="EM107" s="165">
        <v>0</v>
      </c>
      <c r="EN107" s="165">
        <v>1011</v>
      </c>
      <c r="EO107" s="165">
        <v>0</v>
      </c>
      <c r="EP107" s="165">
        <v>135</v>
      </c>
      <c r="EQ107" s="165">
        <v>135</v>
      </c>
      <c r="ER107" s="165">
        <v>121</v>
      </c>
      <c r="ES107" s="165">
        <v>14</v>
      </c>
      <c r="ET107" s="165">
        <v>18</v>
      </c>
      <c r="EU107" s="166">
        <v>28.370999999999999</v>
      </c>
      <c r="EV107" s="166">
        <v>0</v>
      </c>
      <c r="EW107" s="166">
        <v>2.5529999999999999</v>
      </c>
      <c r="EX107" s="166">
        <v>8.7999999999999995E-2</v>
      </c>
      <c r="EY107" s="166">
        <v>9.59</v>
      </c>
      <c r="EZ107" s="166">
        <v>40.602000000000004</v>
      </c>
      <c r="FA107" s="166">
        <v>0</v>
      </c>
      <c r="FB107" s="166">
        <v>135.6888888888889</v>
      </c>
      <c r="FC107" s="166">
        <v>135.6888888888889</v>
      </c>
      <c r="FD107" s="166">
        <v>132.08333333333334</v>
      </c>
      <c r="FE107" s="166">
        <v>133.1</v>
      </c>
      <c r="FF107" s="166">
        <v>134.33333333333334</v>
      </c>
      <c r="FG107" s="166">
        <v>136.80000000000001</v>
      </c>
      <c r="FH107" s="166">
        <v>126.25</v>
      </c>
      <c r="FI107" s="166">
        <v>101.68333333333334</v>
      </c>
      <c r="FJ107" s="166">
        <v>93.222222222222229</v>
      </c>
      <c r="FK107" s="166">
        <v>0</v>
      </c>
      <c r="FL107" s="166">
        <v>0</v>
      </c>
      <c r="FM107" s="166">
        <v>0</v>
      </c>
      <c r="FN107" s="166">
        <v>0</v>
      </c>
      <c r="FO107" s="166">
        <v>0</v>
      </c>
      <c r="FP107" s="166">
        <v>764.25</v>
      </c>
      <c r="FQ107" s="166">
        <v>93.222222222222229</v>
      </c>
      <c r="FR107" s="166">
        <v>0</v>
      </c>
      <c r="FS107" s="166">
        <v>993.16111111111127</v>
      </c>
      <c r="FT107" s="166">
        <v>857.47222222222217</v>
      </c>
      <c r="FU107" s="166">
        <v>993.16111111111127</v>
      </c>
      <c r="FV107" s="166">
        <v>118.84444444444445</v>
      </c>
      <c r="FW107" s="166">
        <v>13.866666666666667</v>
      </c>
      <c r="FX107" s="166">
        <v>132.71111111111111</v>
      </c>
      <c r="FY107" s="166">
        <v>1007.0277777777779</v>
      </c>
      <c r="FZ107" s="165">
        <v>0</v>
      </c>
      <c r="GA107" s="165">
        <v>140</v>
      </c>
      <c r="GB107" s="165">
        <v>140</v>
      </c>
      <c r="GC107" s="165">
        <v>139</v>
      </c>
      <c r="GD107" s="165">
        <v>140</v>
      </c>
      <c r="GE107" s="165">
        <v>141</v>
      </c>
      <c r="GF107" s="165">
        <v>135</v>
      </c>
      <c r="GG107" s="165">
        <v>137</v>
      </c>
      <c r="GH107" s="165">
        <v>110</v>
      </c>
      <c r="GI107" s="165">
        <v>88</v>
      </c>
      <c r="GJ107" s="165">
        <v>0</v>
      </c>
      <c r="GK107" s="165">
        <v>0</v>
      </c>
      <c r="GL107" s="165">
        <v>0</v>
      </c>
      <c r="GM107" s="165">
        <v>0</v>
      </c>
      <c r="GN107" s="165">
        <v>0</v>
      </c>
      <c r="GO107" s="165">
        <v>802</v>
      </c>
      <c r="GP107" s="165">
        <v>88</v>
      </c>
      <c r="GQ107" s="165">
        <v>0</v>
      </c>
      <c r="GR107" s="165">
        <v>1030</v>
      </c>
      <c r="GS107" s="165">
        <v>890</v>
      </c>
      <c r="GT107" s="165">
        <v>1030</v>
      </c>
      <c r="GU107" s="165">
        <v>0</v>
      </c>
      <c r="GV107" s="165">
        <v>183</v>
      </c>
      <c r="GW107" s="165">
        <v>136</v>
      </c>
      <c r="GX107" s="165">
        <v>12</v>
      </c>
      <c r="GY107" s="165">
        <v>148</v>
      </c>
      <c r="GZ107" s="165">
        <v>1042</v>
      </c>
      <c r="HA107" s="165">
        <v>42</v>
      </c>
      <c r="HB107" s="166">
        <v>55.506</v>
      </c>
      <c r="HC107" s="166">
        <v>51.506</v>
      </c>
      <c r="HD107" s="166">
        <v>39.305999999999997</v>
      </c>
      <c r="HE107" s="166">
        <v>5.2</v>
      </c>
      <c r="HF107" s="166"/>
      <c r="HG107" s="166">
        <v>56.506</v>
      </c>
      <c r="HH107" s="166">
        <v>0</v>
      </c>
      <c r="HI107" s="166">
        <v>151</v>
      </c>
      <c r="HJ107" s="166">
        <v>151</v>
      </c>
      <c r="HK107" s="166">
        <v>141</v>
      </c>
      <c r="HL107" s="166">
        <v>10</v>
      </c>
      <c r="HM107" s="166">
        <v>22</v>
      </c>
      <c r="HN107" s="166">
        <v>140</v>
      </c>
      <c r="HO107" s="166">
        <v>891</v>
      </c>
      <c r="HP107" s="166">
        <v>804</v>
      </c>
      <c r="HQ107" s="166">
        <v>87</v>
      </c>
      <c r="HR107" s="166">
        <v>0</v>
      </c>
      <c r="HS107" s="166">
        <v>1031</v>
      </c>
      <c r="HT107" s="166">
        <f>FY26_FE_Data_April15[[#This Row],[Oct 1, 2026 (CDC) - K]]+FY26_FE_Data_April15[[#This Row],[Oct 1, 2026 (CDC) - Grades 1-6]]+FY26_FE_Data_April15[[#This Row],[Oct 1, 2026 (CDC) - Grades 7-8]]</f>
        <v>1031</v>
      </c>
      <c r="HU107" s="166">
        <v>0</v>
      </c>
      <c r="HW107" s="170"/>
      <c r="HY107" s="170"/>
    </row>
    <row r="108" spans="1:233" ht="39">
      <c r="A108" s="158" t="s">
        <v>536</v>
      </c>
      <c r="B108" s="159" t="s">
        <v>537</v>
      </c>
      <c r="C108" s="160" t="s">
        <v>538</v>
      </c>
      <c r="D108" s="160" t="s">
        <v>139</v>
      </c>
      <c r="E108" s="159" t="s">
        <v>784</v>
      </c>
      <c r="F108" s="159" t="s">
        <v>784</v>
      </c>
      <c r="G108" s="159"/>
      <c r="H108" s="161">
        <v>51.594444444444441</v>
      </c>
      <c r="I108" s="161">
        <v>5.7222222222222223</v>
      </c>
      <c r="J108" s="161">
        <v>57.316666666666663</v>
      </c>
      <c r="K108" s="162">
        <v>48</v>
      </c>
      <c r="L108" s="162">
        <v>311</v>
      </c>
      <c r="M108" s="162">
        <v>0</v>
      </c>
      <c r="N108" s="162">
        <v>0</v>
      </c>
      <c r="O108" s="162">
        <v>359</v>
      </c>
      <c r="P108" s="162">
        <v>311</v>
      </c>
      <c r="Q108" s="162">
        <v>359</v>
      </c>
      <c r="R108" s="162">
        <v>4</v>
      </c>
      <c r="S108" s="160">
        <v>47.972222222222221</v>
      </c>
      <c r="T108" s="160">
        <v>49</v>
      </c>
      <c r="U108" s="160">
        <v>49.544444444444444</v>
      </c>
      <c r="V108" s="160">
        <v>51.62222222222222</v>
      </c>
      <c r="W108" s="160">
        <v>50.577777777777776</v>
      </c>
      <c r="X108" s="160">
        <v>54</v>
      </c>
      <c r="Y108" s="160">
        <v>50.677777777777777</v>
      </c>
      <c r="Z108" s="160">
        <v>0</v>
      </c>
      <c r="AA108" s="160">
        <v>0</v>
      </c>
      <c r="AB108" s="160">
        <v>0</v>
      </c>
      <c r="AC108" s="160">
        <v>0</v>
      </c>
      <c r="AD108" s="160">
        <v>0</v>
      </c>
      <c r="AE108" s="160">
        <v>0</v>
      </c>
      <c r="AF108" s="160">
        <v>305.42222222222222</v>
      </c>
      <c r="AG108" s="160">
        <v>0</v>
      </c>
      <c r="AH108" s="160">
        <v>0</v>
      </c>
      <c r="AI108" s="160">
        <v>353.3944444444445</v>
      </c>
      <c r="AJ108" s="160">
        <v>305.42222222222222</v>
      </c>
      <c r="AK108" s="160">
        <v>353.3944444444445</v>
      </c>
      <c r="AL108" s="161">
        <v>58.25</v>
      </c>
      <c r="AM108" s="161">
        <v>4.4444444444444446</v>
      </c>
      <c r="AN108" s="161">
        <v>62.694444444444443</v>
      </c>
      <c r="AO108" s="161">
        <v>357.83888888888896</v>
      </c>
      <c r="AP108" s="162">
        <v>48</v>
      </c>
      <c r="AQ108" s="168">
        <v>48</v>
      </c>
      <c r="AR108" s="160">
        <v>50</v>
      </c>
      <c r="AS108" s="160">
        <v>52</v>
      </c>
      <c r="AT108" s="160">
        <v>52</v>
      </c>
      <c r="AU108" s="160">
        <v>54</v>
      </c>
      <c r="AV108" s="160">
        <v>54</v>
      </c>
      <c r="AW108" s="160">
        <v>0</v>
      </c>
      <c r="AX108" s="160">
        <v>0</v>
      </c>
      <c r="AY108" s="160">
        <v>0</v>
      </c>
      <c r="AZ108" s="160">
        <v>0</v>
      </c>
      <c r="BA108" s="160">
        <v>0</v>
      </c>
      <c r="BB108" s="160">
        <v>0</v>
      </c>
      <c r="BC108" s="160">
        <v>310</v>
      </c>
      <c r="BD108" s="160">
        <v>0</v>
      </c>
      <c r="BE108" s="160">
        <v>0</v>
      </c>
      <c r="BF108" s="160">
        <v>358</v>
      </c>
      <c r="BG108" s="160">
        <v>310</v>
      </c>
      <c r="BH108" s="160">
        <v>358</v>
      </c>
      <c r="BI108" s="160">
        <v>47</v>
      </c>
      <c r="BJ108" s="160">
        <v>1</v>
      </c>
      <c r="BK108" s="160">
        <v>0</v>
      </c>
      <c r="BL108" s="160">
        <v>77</v>
      </c>
      <c r="BM108" s="160">
        <v>62</v>
      </c>
      <c r="BN108" s="162">
        <v>3</v>
      </c>
      <c r="BO108" s="162">
        <v>65</v>
      </c>
      <c r="BP108" s="162">
        <v>5</v>
      </c>
      <c r="BQ108" s="163">
        <v>0.10797872340425529</v>
      </c>
      <c r="BR108" s="164">
        <v>22.75</v>
      </c>
      <c r="BS108" s="164">
        <v>21.25</v>
      </c>
      <c r="BT108" s="164">
        <v>20.5</v>
      </c>
      <c r="BU108" s="164">
        <v>22.75</v>
      </c>
      <c r="BV108" s="165">
        <v>0</v>
      </c>
      <c r="BW108" s="165">
        <v>0</v>
      </c>
      <c r="BX108" s="166">
        <v>0</v>
      </c>
      <c r="BY108" s="166">
        <v>1.577777</v>
      </c>
      <c r="BZ108" s="166">
        <v>44.122222000000001</v>
      </c>
      <c r="CA108" s="166">
        <v>45.7</v>
      </c>
      <c r="CB108" s="166">
        <v>47.977777777777774</v>
      </c>
      <c r="CC108" s="166">
        <v>49.988888888888887</v>
      </c>
      <c r="CD108" s="166">
        <v>52.005555555555553</v>
      </c>
      <c r="CE108" s="166">
        <v>51.972222222222221</v>
      </c>
      <c r="CF108" s="166">
        <v>52.9</v>
      </c>
      <c r="CG108" s="166">
        <v>53.916666666666664</v>
      </c>
      <c r="CH108" s="166">
        <v>0</v>
      </c>
      <c r="CI108" s="166">
        <v>0</v>
      </c>
      <c r="CJ108" s="166">
        <v>0</v>
      </c>
      <c r="CK108" s="166">
        <v>0</v>
      </c>
      <c r="CL108" s="166">
        <v>0</v>
      </c>
      <c r="CM108" s="166">
        <v>0</v>
      </c>
      <c r="CN108" s="166">
        <v>308.76111111111112</v>
      </c>
      <c r="CO108" s="166">
        <v>0</v>
      </c>
      <c r="CP108" s="166">
        <v>0</v>
      </c>
      <c r="CQ108" s="166">
        <v>354.46111111111111</v>
      </c>
      <c r="CR108" s="166">
        <v>308.76111111111112</v>
      </c>
      <c r="CS108" s="166">
        <v>354.46111111111111</v>
      </c>
      <c r="CT108" s="166">
        <v>58.55</v>
      </c>
      <c r="CU108" s="166">
        <v>3.0944444444444401</v>
      </c>
      <c r="CV108" s="166">
        <v>61.644444444444439</v>
      </c>
      <c r="CW108" s="166">
        <v>357.55555555555554</v>
      </c>
      <c r="CX108" s="166">
        <v>0</v>
      </c>
      <c r="CY108" s="166">
        <v>49</v>
      </c>
      <c r="CZ108" s="165">
        <v>0</v>
      </c>
      <c r="DA108" s="165">
        <v>49</v>
      </c>
      <c r="DB108" s="165">
        <v>48</v>
      </c>
      <c r="DC108" s="165">
        <v>50</v>
      </c>
      <c r="DD108" s="165">
        <v>52</v>
      </c>
      <c r="DE108" s="165">
        <v>52</v>
      </c>
      <c r="DF108" s="165">
        <v>54</v>
      </c>
      <c r="DG108" s="165">
        <v>54</v>
      </c>
      <c r="DH108" s="165">
        <v>0</v>
      </c>
      <c r="DI108" s="165">
        <v>0</v>
      </c>
      <c r="DJ108" s="165">
        <v>0</v>
      </c>
      <c r="DK108" s="165">
        <v>0</v>
      </c>
      <c r="DL108" s="165">
        <v>0</v>
      </c>
      <c r="DM108" s="165">
        <v>0</v>
      </c>
      <c r="DN108" s="165">
        <v>310</v>
      </c>
      <c r="DO108" s="165">
        <v>0</v>
      </c>
      <c r="DP108" s="165">
        <v>0</v>
      </c>
      <c r="DQ108" s="165">
        <v>359</v>
      </c>
      <c r="DR108" s="165">
        <v>310</v>
      </c>
      <c r="DS108" s="165">
        <v>359</v>
      </c>
      <c r="DT108" s="165">
        <v>0</v>
      </c>
      <c r="DU108" s="165">
        <v>71</v>
      </c>
      <c r="DV108" s="165">
        <v>51</v>
      </c>
      <c r="DW108" s="165">
        <v>7</v>
      </c>
      <c r="DX108" s="165">
        <v>58</v>
      </c>
      <c r="DY108" s="165">
        <v>366</v>
      </c>
      <c r="DZ108" s="165">
        <v>6</v>
      </c>
      <c r="EA108" s="166">
        <v>21.75</v>
      </c>
      <c r="EB108" s="166">
        <v>20.25</v>
      </c>
      <c r="EC108" s="166">
        <v>16.75</v>
      </c>
      <c r="ED108" s="166">
        <v>0.75</v>
      </c>
      <c r="EE108" s="166">
        <v>0</v>
      </c>
      <c r="EF108" s="166">
        <v>36.25</v>
      </c>
      <c r="EG108" s="167">
        <v>0.11293103448275865</v>
      </c>
      <c r="EH108" s="165"/>
      <c r="EI108" s="165">
        <v>43</v>
      </c>
      <c r="EJ108" s="165">
        <v>313</v>
      </c>
      <c r="EK108" s="165">
        <v>313</v>
      </c>
      <c r="EL108" s="165">
        <v>0</v>
      </c>
      <c r="EM108" s="165">
        <v>0</v>
      </c>
      <c r="EN108" s="165">
        <v>356</v>
      </c>
      <c r="EO108" s="165">
        <v>0</v>
      </c>
      <c r="EP108" s="165">
        <v>59</v>
      </c>
      <c r="EQ108" s="165">
        <v>59</v>
      </c>
      <c r="ER108" s="165">
        <v>52</v>
      </c>
      <c r="ES108" s="165">
        <v>7</v>
      </c>
      <c r="ET108" s="165">
        <v>13</v>
      </c>
      <c r="EU108" s="166">
        <v>20</v>
      </c>
      <c r="EV108" s="166">
        <v>1.5</v>
      </c>
      <c r="EW108" s="166">
        <v>0.25</v>
      </c>
      <c r="EX108" s="166">
        <v>0</v>
      </c>
      <c r="EY108" s="166">
        <v>7</v>
      </c>
      <c r="EZ108" s="166">
        <v>28.75</v>
      </c>
      <c r="FA108" s="166">
        <v>2</v>
      </c>
      <c r="FB108" s="166">
        <v>46.416666666666664</v>
      </c>
      <c r="FC108" s="166">
        <v>48.416666666666664</v>
      </c>
      <c r="FD108" s="166">
        <v>46.016666666666666</v>
      </c>
      <c r="FE108" s="166">
        <v>49</v>
      </c>
      <c r="FF108" s="166">
        <v>50.988888888888887</v>
      </c>
      <c r="FG108" s="166">
        <v>50.944444444444443</v>
      </c>
      <c r="FH108" s="166">
        <v>53.011111111111113</v>
      </c>
      <c r="FI108" s="166">
        <v>53.016666666666666</v>
      </c>
      <c r="FJ108" s="166">
        <v>0</v>
      </c>
      <c r="FK108" s="166">
        <v>0</v>
      </c>
      <c r="FL108" s="166">
        <v>0</v>
      </c>
      <c r="FM108" s="166">
        <v>0</v>
      </c>
      <c r="FN108" s="166">
        <v>0</v>
      </c>
      <c r="FO108" s="166">
        <v>0</v>
      </c>
      <c r="FP108" s="166">
        <v>302.97777777777776</v>
      </c>
      <c r="FQ108" s="166">
        <v>0</v>
      </c>
      <c r="FR108" s="166">
        <v>0</v>
      </c>
      <c r="FS108" s="166">
        <v>351.39444444444445</v>
      </c>
      <c r="FT108" s="166">
        <v>302.97777777777776</v>
      </c>
      <c r="FU108" s="166">
        <v>351.39444444444445</v>
      </c>
      <c r="FV108" s="166">
        <v>53.62222222222222</v>
      </c>
      <c r="FW108" s="166">
        <v>7.0555555555555554</v>
      </c>
      <c r="FX108" s="166">
        <v>60.677777777777777</v>
      </c>
      <c r="FY108" s="166">
        <v>358.45</v>
      </c>
      <c r="FZ108" s="165">
        <v>0</v>
      </c>
      <c r="GA108" s="165">
        <v>48</v>
      </c>
      <c r="GB108" s="165">
        <v>48</v>
      </c>
      <c r="GC108" s="165">
        <v>48</v>
      </c>
      <c r="GD108" s="165">
        <v>50</v>
      </c>
      <c r="GE108" s="165">
        <v>53</v>
      </c>
      <c r="GF108" s="165">
        <v>53</v>
      </c>
      <c r="GG108" s="165">
        <v>53</v>
      </c>
      <c r="GH108" s="165">
        <v>53</v>
      </c>
      <c r="GI108" s="165">
        <v>0</v>
      </c>
      <c r="GJ108" s="165">
        <v>0</v>
      </c>
      <c r="GK108" s="165">
        <v>0</v>
      </c>
      <c r="GL108" s="165">
        <v>0</v>
      </c>
      <c r="GM108" s="165">
        <v>0</v>
      </c>
      <c r="GN108" s="165">
        <v>0</v>
      </c>
      <c r="GO108" s="165">
        <v>310</v>
      </c>
      <c r="GP108" s="165">
        <v>0</v>
      </c>
      <c r="GQ108" s="165">
        <v>0</v>
      </c>
      <c r="GR108" s="165">
        <v>358</v>
      </c>
      <c r="GS108" s="165">
        <v>310</v>
      </c>
      <c r="GT108" s="165">
        <v>358</v>
      </c>
      <c r="GU108" s="165">
        <v>0</v>
      </c>
      <c r="GV108" s="165">
        <v>66</v>
      </c>
      <c r="GW108" s="165">
        <v>58</v>
      </c>
      <c r="GX108" s="165">
        <v>6</v>
      </c>
      <c r="GY108" s="165">
        <v>64</v>
      </c>
      <c r="GZ108" s="165">
        <v>364</v>
      </c>
      <c r="HA108" s="165">
        <v>3</v>
      </c>
      <c r="HB108" s="166">
        <v>23.75</v>
      </c>
      <c r="HC108" s="166">
        <v>22.25</v>
      </c>
      <c r="HD108" s="166">
        <v>18.75</v>
      </c>
      <c r="HE108" s="166">
        <v>0.75</v>
      </c>
      <c r="HF108" s="166"/>
      <c r="HG108" s="166">
        <v>24.25</v>
      </c>
      <c r="HH108" s="166">
        <v>0</v>
      </c>
      <c r="HI108" s="166">
        <v>62</v>
      </c>
      <c r="HJ108" s="166">
        <v>62</v>
      </c>
      <c r="HK108" s="166">
        <v>57</v>
      </c>
      <c r="HL108" s="166">
        <v>5</v>
      </c>
      <c r="HM108" s="166">
        <v>23</v>
      </c>
      <c r="HN108" s="166">
        <v>48</v>
      </c>
      <c r="HO108" s="166">
        <v>310</v>
      </c>
      <c r="HP108" s="166">
        <v>310</v>
      </c>
      <c r="HQ108" s="166">
        <v>0</v>
      </c>
      <c r="HR108" s="166">
        <v>0</v>
      </c>
      <c r="HS108" s="166">
        <v>358</v>
      </c>
      <c r="HT108" s="166">
        <f>FY26_FE_Data_April15[[#This Row],[Oct 1, 2026 (CDC) - K]]+FY26_FE_Data_April15[[#This Row],[Oct 1, 2026 (CDC) - Grades 1-6]]+FY26_FE_Data_April15[[#This Row],[Oct 1, 2026 (CDC) - Grades 7-8]]</f>
        <v>358</v>
      </c>
      <c r="HU108" s="166">
        <v>0</v>
      </c>
      <c r="HW108" s="170"/>
      <c r="HY108" s="170"/>
    </row>
    <row r="109" spans="1:233" ht="26">
      <c r="A109" s="158" t="s">
        <v>539</v>
      </c>
      <c r="B109" s="159" t="s">
        <v>540</v>
      </c>
      <c r="C109" s="160" t="s">
        <v>541</v>
      </c>
      <c r="D109" s="160" t="s">
        <v>139</v>
      </c>
      <c r="E109" s="159" t="s">
        <v>784</v>
      </c>
      <c r="F109" s="159" t="s">
        <v>784</v>
      </c>
      <c r="G109" s="159"/>
      <c r="H109" s="161">
        <v>348.48888888888888</v>
      </c>
      <c r="I109" s="161">
        <v>36.916666666666664</v>
      </c>
      <c r="J109" s="161">
        <v>385.40555555555557</v>
      </c>
      <c r="K109" s="162">
        <v>58</v>
      </c>
      <c r="L109" s="162">
        <v>551</v>
      </c>
      <c r="M109" s="162">
        <v>319</v>
      </c>
      <c r="N109" s="162">
        <v>866</v>
      </c>
      <c r="O109" s="162">
        <v>1794</v>
      </c>
      <c r="P109" s="162">
        <v>1736</v>
      </c>
      <c r="Q109" s="162">
        <v>928</v>
      </c>
      <c r="R109" s="162">
        <v>35</v>
      </c>
      <c r="S109" s="160">
        <v>55.077777777777776</v>
      </c>
      <c r="T109" s="160">
        <v>83.822222222222223</v>
      </c>
      <c r="U109" s="160">
        <v>70.683333333333337</v>
      </c>
      <c r="V109" s="160">
        <v>78.483333333333334</v>
      </c>
      <c r="W109" s="160">
        <v>86.12777777777778</v>
      </c>
      <c r="X109" s="160">
        <v>100.86111111111111</v>
      </c>
      <c r="Y109" s="160">
        <v>129.80000000000001</v>
      </c>
      <c r="Z109" s="160">
        <v>140.6888888888889</v>
      </c>
      <c r="AA109" s="160">
        <v>192.87777777777777</v>
      </c>
      <c r="AB109" s="160">
        <v>202.51111111111112</v>
      </c>
      <c r="AC109" s="160">
        <v>202.78888888888889</v>
      </c>
      <c r="AD109" s="160">
        <v>225.00555555555556</v>
      </c>
      <c r="AE109" s="160">
        <v>177.15</v>
      </c>
      <c r="AF109" s="160">
        <v>549.77777777777783</v>
      </c>
      <c r="AG109" s="160">
        <v>333.56666666666666</v>
      </c>
      <c r="AH109" s="160">
        <v>807.45555555555552</v>
      </c>
      <c r="AI109" s="160">
        <v>938.42222222222222</v>
      </c>
      <c r="AJ109" s="160">
        <v>1690.8000000000002</v>
      </c>
      <c r="AK109" s="160">
        <v>1745.8777777777777</v>
      </c>
      <c r="AL109" s="161">
        <v>345.49444444444447</v>
      </c>
      <c r="AM109" s="161">
        <v>32.966666666666669</v>
      </c>
      <c r="AN109" s="161">
        <v>378.46111111111111</v>
      </c>
      <c r="AO109" s="161">
        <v>1778.8444444444444</v>
      </c>
      <c r="AP109" s="162">
        <v>71</v>
      </c>
      <c r="AQ109" s="168">
        <v>64</v>
      </c>
      <c r="AR109" s="160">
        <v>88</v>
      </c>
      <c r="AS109" s="160">
        <v>83</v>
      </c>
      <c r="AT109" s="160">
        <v>93</v>
      </c>
      <c r="AU109" s="160">
        <v>95</v>
      </c>
      <c r="AV109" s="160">
        <v>109</v>
      </c>
      <c r="AW109" s="160">
        <v>145</v>
      </c>
      <c r="AX109" s="160">
        <v>181</v>
      </c>
      <c r="AY109" s="160">
        <v>178</v>
      </c>
      <c r="AZ109" s="160">
        <v>207</v>
      </c>
      <c r="BA109" s="160">
        <v>238</v>
      </c>
      <c r="BB109" s="160">
        <v>193</v>
      </c>
      <c r="BC109" s="160">
        <v>532</v>
      </c>
      <c r="BD109" s="160">
        <v>326</v>
      </c>
      <c r="BE109" s="160">
        <v>816</v>
      </c>
      <c r="BF109" s="160">
        <v>929</v>
      </c>
      <c r="BG109" s="160">
        <v>1674</v>
      </c>
      <c r="BH109" s="160">
        <v>1745</v>
      </c>
      <c r="BI109" s="160">
        <v>67</v>
      </c>
      <c r="BJ109" s="160">
        <v>4</v>
      </c>
      <c r="BK109" s="160">
        <v>0</v>
      </c>
      <c r="BL109" s="160">
        <v>938</v>
      </c>
      <c r="BM109" s="160">
        <v>307</v>
      </c>
      <c r="BN109" s="162">
        <v>36</v>
      </c>
      <c r="BO109" s="162">
        <v>343</v>
      </c>
      <c r="BP109" s="162">
        <v>81</v>
      </c>
      <c r="BQ109" s="163">
        <v>7.9409515408519815E-2</v>
      </c>
      <c r="BR109" s="164">
        <v>125.45099999999999</v>
      </c>
      <c r="BS109" s="164">
        <v>123.45099999999999</v>
      </c>
      <c r="BT109" s="164">
        <v>121</v>
      </c>
      <c r="BU109" s="164">
        <v>123</v>
      </c>
      <c r="BV109" s="165">
        <v>1620</v>
      </c>
      <c r="BW109" s="165">
        <v>990</v>
      </c>
      <c r="BX109" s="166">
        <v>1433.7722220000001</v>
      </c>
      <c r="BY109" s="166">
        <v>4.9722220000000004</v>
      </c>
      <c r="BZ109" s="166">
        <v>59.544443999999999</v>
      </c>
      <c r="CA109" s="166">
        <v>64.516666666666666</v>
      </c>
      <c r="CB109" s="166">
        <v>66.45</v>
      </c>
      <c r="CC109" s="166">
        <v>87.677777777777777</v>
      </c>
      <c r="CD109" s="166">
        <v>83.894444444444446</v>
      </c>
      <c r="CE109" s="166">
        <v>93.238888888888894</v>
      </c>
      <c r="CF109" s="166">
        <v>95.766666666666666</v>
      </c>
      <c r="CG109" s="166">
        <v>115</v>
      </c>
      <c r="CH109" s="166">
        <v>156.27777777777777</v>
      </c>
      <c r="CI109" s="166">
        <v>190.20555555555555</v>
      </c>
      <c r="CJ109" s="166">
        <v>190.00555555555556</v>
      </c>
      <c r="CK109" s="166">
        <v>216.92222222222222</v>
      </c>
      <c r="CL109" s="166">
        <v>211.85</v>
      </c>
      <c r="CM109" s="166">
        <v>163.26666666666668</v>
      </c>
      <c r="CN109" s="166">
        <v>542.02777777777783</v>
      </c>
      <c r="CO109" s="166">
        <v>346.48333333333335</v>
      </c>
      <c r="CP109" s="166">
        <v>782.04444444444448</v>
      </c>
      <c r="CQ109" s="166">
        <v>953.02777777777783</v>
      </c>
      <c r="CR109" s="166">
        <v>1670.5555555555554</v>
      </c>
      <c r="CS109" s="166">
        <v>1735.0722222222221</v>
      </c>
      <c r="CT109" s="166">
        <v>312.82777777777801</v>
      </c>
      <c r="CU109" s="166">
        <v>33.15</v>
      </c>
      <c r="CV109" s="166">
        <v>345.97777777777799</v>
      </c>
      <c r="CW109" s="166">
        <v>1768.2222222222222</v>
      </c>
      <c r="CX109" s="166">
        <v>1337.838888</v>
      </c>
      <c r="CY109" s="166">
        <v>70</v>
      </c>
      <c r="CZ109" s="165">
        <v>16</v>
      </c>
      <c r="DA109" s="165">
        <v>86</v>
      </c>
      <c r="DB109" s="165">
        <v>82</v>
      </c>
      <c r="DC109" s="165">
        <v>82</v>
      </c>
      <c r="DD109" s="165">
        <v>90</v>
      </c>
      <c r="DE109" s="165">
        <v>91</v>
      </c>
      <c r="DF109" s="165">
        <v>114</v>
      </c>
      <c r="DG109" s="165">
        <v>130</v>
      </c>
      <c r="DH109" s="165">
        <v>149</v>
      </c>
      <c r="DI109" s="165">
        <v>228</v>
      </c>
      <c r="DJ109" s="165">
        <v>203</v>
      </c>
      <c r="DK109" s="165">
        <v>228</v>
      </c>
      <c r="DL109" s="165">
        <v>231</v>
      </c>
      <c r="DM109" s="165">
        <v>183</v>
      </c>
      <c r="DN109" s="165">
        <v>589</v>
      </c>
      <c r="DO109" s="165">
        <v>377</v>
      </c>
      <c r="DP109" s="165">
        <v>845</v>
      </c>
      <c r="DQ109" s="165">
        <v>1052</v>
      </c>
      <c r="DR109" s="165">
        <v>1811</v>
      </c>
      <c r="DS109" s="165">
        <v>1897</v>
      </c>
      <c r="DT109" s="165">
        <v>0</v>
      </c>
      <c r="DU109" s="165">
        <v>795</v>
      </c>
      <c r="DV109" s="165">
        <v>336</v>
      </c>
      <c r="DW109" s="165">
        <v>35</v>
      </c>
      <c r="DX109" s="165">
        <v>371</v>
      </c>
      <c r="DY109" s="165">
        <v>1932</v>
      </c>
      <c r="DZ109" s="165">
        <v>73</v>
      </c>
      <c r="EA109" s="166">
        <v>125.751</v>
      </c>
      <c r="EB109" s="166">
        <v>123.751</v>
      </c>
      <c r="EC109" s="166">
        <v>36.877000000000002</v>
      </c>
      <c r="ED109" s="166">
        <v>55.38</v>
      </c>
      <c r="EE109" s="166">
        <v>0</v>
      </c>
      <c r="EF109" s="166">
        <v>126.75099999999999</v>
      </c>
      <c r="EG109" s="167">
        <v>8.5094513154391427E-2</v>
      </c>
      <c r="EH109" s="165"/>
      <c r="EI109" s="165">
        <v>90</v>
      </c>
      <c r="EJ109" s="165">
        <v>1798</v>
      </c>
      <c r="EK109" s="165">
        <v>590</v>
      </c>
      <c r="EL109" s="165">
        <v>376</v>
      </c>
      <c r="EM109" s="165">
        <v>832</v>
      </c>
      <c r="EN109" s="165">
        <v>1888</v>
      </c>
      <c r="EO109" s="165">
        <v>0</v>
      </c>
      <c r="EP109" s="165">
        <v>393</v>
      </c>
      <c r="EQ109" s="165">
        <v>393</v>
      </c>
      <c r="ER109" s="165">
        <v>358</v>
      </c>
      <c r="ES109" s="165">
        <v>35</v>
      </c>
      <c r="ET109" s="165">
        <v>0</v>
      </c>
      <c r="EU109" s="166">
        <v>3</v>
      </c>
      <c r="EV109" s="166">
        <v>0</v>
      </c>
      <c r="EW109" s="166">
        <v>10</v>
      </c>
      <c r="EX109" s="166">
        <v>12.5</v>
      </c>
      <c r="EY109" s="166">
        <v>0</v>
      </c>
      <c r="EZ109" s="166">
        <v>25.5</v>
      </c>
      <c r="FA109" s="166">
        <v>14.838888888888889</v>
      </c>
      <c r="FB109" s="166">
        <v>59.927777777777777</v>
      </c>
      <c r="FC109" s="166">
        <v>74.766666666666666</v>
      </c>
      <c r="FD109" s="166">
        <v>75.455555555555549</v>
      </c>
      <c r="FE109" s="166">
        <v>73.394444444444446</v>
      </c>
      <c r="FF109" s="166">
        <v>82.577777777777783</v>
      </c>
      <c r="FG109" s="166">
        <v>79.900000000000006</v>
      </c>
      <c r="FH109" s="166">
        <v>101.01666666666667</v>
      </c>
      <c r="FI109" s="166">
        <v>126.97222222222223</v>
      </c>
      <c r="FJ109" s="166">
        <v>144.76666666666668</v>
      </c>
      <c r="FK109" s="166">
        <v>222.18333333333334</v>
      </c>
      <c r="FL109" s="166">
        <v>187.55</v>
      </c>
      <c r="FM109" s="166">
        <v>209.97222222222223</v>
      </c>
      <c r="FN109" s="166">
        <v>220.14444444444445</v>
      </c>
      <c r="FO109" s="166">
        <v>155.00555555555556</v>
      </c>
      <c r="FP109" s="166">
        <v>539.31666666666661</v>
      </c>
      <c r="FQ109" s="166">
        <v>366.95000000000005</v>
      </c>
      <c r="FR109" s="166">
        <v>772.67222222222233</v>
      </c>
      <c r="FS109" s="166">
        <v>981.0333333333333</v>
      </c>
      <c r="FT109" s="166">
        <v>1678.9388888888886</v>
      </c>
      <c r="FU109" s="166">
        <v>1753.7055555555553</v>
      </c>
      <c r="FV109" s="166">
        <v>340.72777777777776</v>
      </c>
      <c r="FW109" s="166">
        <v>33.87222222222222</v>
      </c>
      <c r="FX109" s="166">
        <v>374.59999999999997</v>
      </c>
      <c r="FY109" s="166">
        <v>1787.5777777777776</v>
      </c>
      <c r="FZ109" s="165">
        <v>17</v>
      </c>
      <c r="GA109" s="165">
        <v>62</v>
      </c>
      <c r="GB109" s="165">
        <v>79</v>
      </c>
      <c r="GC109" s="165">
        <v>88</v>
      </c>
      <c r="GD109" s="165">
        <v>74</v>
      </c>
      <c r="GE109" s="165">
        <v>97</v>
      </c>
      <c r="GF109" s="165">
        <v>93</v>
      </c>
      <c r="GG109" s="165">
        <v>110</v>
      </c>
      <c r="GH109" s="165">
        <v>122</v>
      </c>
      <c r="GI109" s="165">
        <v>160</v>
      </c>
      <c r="GJ109" s="165">
        <v>181</v>
      </c>
      <c r="GK109" s="165">
        <v>202</v>
      </c>
      <c r="GL109" s="165">
        <v>201</v>
      </c>
      <c r="GM109" s="165">
        <v>259</v>
      </c>
      <c r="GN109" s="165">
        <v>209</v>
      </c>
      <c r="GO109" s="165">
        <v>584</v>
      </c>
      <c r="GP109" s="165">
        <v>341</v>
      </c>
      <c r="GQ109" s="165">
        <v>871</v>
      </c>
      <c r="GR109" s="165">
        <v>1004</v>
      </c>
      <c r="GS109" s="165">
        <v>1796</v>
      </c>
      <c r="GT109" s="165">
        <v>1875</v>
      </c>
      <c r="GU109" s="165">
        <v>0</v>
      </c>
      <c r="GV109" s="165">
        <v>1133</v>
      </c>
      <c r="GW109" s="165">
        <v>373</v>
      </c>
      <c r="GX109" s="165">
        <v>34</v>
      </c>
      <c r="GY109" s="165">
        <v>407</v>
      </c>
      <c r="GZ109" s="165">
        <v>1909</v>
      </c>
      <c r="HA109" s="165">
        <v>94</v>
      </c>
      <c r="HB109" s="166">
        <v>130.5</v>
      </c>
      <c r="HC109" s="166">
        <v>128.5</v>
      </c>
      <c r="HD109" s="166">
        <v>42.5</v>
      </c>
      <c r="HE109" s="166">
        <v>55.800000000000004</v>
      </c>
      <c r="HF109" s="166"/>
      <c r="HG109" s="166">
        <v>131.5</v>
      </c>
      <c r="HH109" s="166">
        <v>0</v>
      </c>
      <c r="HI109" s="166">
        <v>397</v>
      </c>
      <c r="HJ109" s="166">
        <v>397</v>
      </c>
      <c r="HK109" s="166">
        <v>369</v>
      </c>
      <c r="HL109" s="166">
        <v>28</v>
      </c>
      <c r="HM109" s="166">
        <v>1</v>
      </c>
      <c r="HN109" s="166">
        <v>86</v>
      </c>
      <c r="HO109" s="166">
        <v>1806</v>
      </c>
      <c r="HP109" s="166">
        <v>589</v>
      </c>
      <c r="HQ109" s="166">
        <v>376</v>
      </c>
      <c r="HR109" s="166">
        <v>841</v>
      </c>
      <c r="HS109" s="166">
        <v>1892</v>
      </c>
      <c r="HT109" s="166">
        <f>FY26_FE_Data_April15[[#This Row],[Oct 1, 2026 (CDC) - K]]+FY26_FE_Data_April15[[#This Row],[Oct 1, 2026 (CDC) - Grades 1-6]]+FY26_FE_Data_April15[[#This Row],[Oct 1, 2026 (CDC) - Grades 7-8]]</f>
        <v>1051</v>
      </c>
      <c r="HU109" s="166">
        <v>1477.694444</v>
      </c>
      <c r="HW109" s="170"/>
      <c r="HY109" s="170"/>
    </row>
    <row r="110" spans="1:233" ht="65">
      <c r="A110" s="158" t="s">
        <v>542</v>
      </c>
      <c r="B110" s="159" t="s">
        <v>543</v>
      </c>
      <c r="C110" s="160" t="s">
        <v>544</v>
      </c>
      <c r="D110" s="160" t="s">
        <v>139</v>
      </c>
      <c r="E110" s="159" t="s">
        <v>784</v>
      </c>
      <c r="F110" s="159" t="s">
        <v>784</v>
      </c>
      <c r="G110" s="159"/>
      <c r="H110" s="161">
        <v>42.783333333333331</v>
      </c>
      <c r="I110" s="161">
        <v>1.2388888888888889</v>
      </c>
      <c r="J110" s="161">
        <v>44.022222222222219</v>
      </c>
      <c r="K110" s="162">
        <v>94</v>
      </c>
      <c r="L110" s="162">
        <v>513</v>
      </c>
      <c r="M110" s="162">
        <v>48</v>
      </c>
      <c r="N110" s="162">
        <v>0</v>
      </c>
      <c r="O110" s="162">
        <v>655</v>
      </c>
      <c r="P110" s="162">
        <v>561</v>
      </c>
      <c r="Q110" s="162">
        <v>655</v>
      </c>
      <c r="R110" s="162">
        <v>2</v>
      </c>
      <c r="S110" s="160">
        <v>95.694444444444443</v>
      </c>
      <c r="T110" s="160">
        <v>94.277777777777771</v>
      </c>
      <c r="U110" s="160">
        <v>99.25555555555556</v>
      </c>
      <c r="V110" s="160">
        <v>85.322222222222223</v>
      </c>
      <c r="W110" s="160">
        <v>96.688888888888883</v>
      </c>
      <c r="X110" s="160">
        <v>68.677777777777777</v>
      </c>
      <c r="Y110" s="160">
        <v>60.966666666666669</v>
      </c>
      <c r="Z110" s="160">
        <v>29.427777777777777</v>
      </c>
      <c r="AA110" s="160">
        <v>16.649999999999999</v>
      </c>
      <c r="AB110" s="160">
        <v>0</v>
      </c>
      <c r="AC110" s="160">
        <v>0</v>
      </c>
      <c r="AD110" s="160">
        <v>0</v>
      </c>
      <c r="AE110" s="160">
        <v>0</v>
      </c>
      <c r="AF110" s="160">
        <v>505.18888888888887</v>
      </c>
      <c r="AG110" s="160">
        <v>46.077777777777776</v>
      </c>
      <c r="AH110" s="160">
        <v>0</v>
      </c>
      <c r="AI110" s="160">
        <v>646.96111111111111</v>
      </c>
      <c r="AJ110" s="160">
        <v>551.26666666666665</v>
      </c>
      <c r="AK110" s="160">
        <v>646.96111111111111</v>
      </c>
      <c r="AL110" s="161">
        <v>59.255555555555553</v>
      </c>
      <c r="AM110" s="161">
        <v>2</v>
      </c>
      <c r="AN110" s="161">
        <v>61.255555555555553</v>
      </c>
      <c r="AO110" s="161">
        <v>648.96111111111111</v>
      </c>
      <c r="AP110" s="162">
        <v>89</v>
      </c>
      <c r="AQ110" s="168">
        <v>112</v>
      </c>
      <c r="AR110" s="160">
        <v>104</v>
      </c>
      <c r="AS110" s="160">
        <v>94</v>
      </c>
      <c r="AT110" s="160">
        <v>79</v>
      </c>
      <c r="AU110" s="160">
        <v>93</v>
      </c>
      <c r="AV110" s="160">
        <v>67</v>
      </c>
      <c r="AW110" s="160">
        <v>33</v>
      </c>
      <c r="AX110" s="160">
        <v>21</v>
      </c>
      <c r="AY110" s="160">
        <v>0</v>
      </c>
      <c r="AZ110" s="160">
        <v>0</v>
      </c>
      <c r="BA110" s="160">
        <v>0</v>
      </c>
      <c r="BB110" s="160">
        <v>0</v>
      </c>
      <c r="BC110" s="160">
        <v>549</v>
      </c>
      <c r="BD110" s="160">
        <v>54</v>
      </c>
      <c r="BE110" s="160">
        <v>0</v>
      </c>
      <c r="BF110" s="160">
        <v>692</v>
      </c>
      <c r="BG110" s="160">
        <v>603</v>
      </c>
      <c r="BH110" s="160">
        <v>692</v>
      </c>
      <c r="BI110" s="160">
        <v>89</v>
      </c>
      <c r="BJ110" s="160">
        <v>0</v>
      </c>
      <c r="BK110" s="160">
        <v>0</v>
      </c>
      <c r="BL110" s="160">
        <v>75</v>
      </c>
      <c r="BM110" s="160">
        <v>61</v>
      </c>
      <c r="BN110" s="162">
        <v>3</v>
      </c>
      <c r="BO110" s="162">
        <v>64</v>
      </c>
      <c r="BP110" s="162">
        <v>1</v>
      </c>
      <c r="BQ110" s="163">
        <v>6.4472840230180017E-2</v>
      </c>
      <c r="BR110" s="164">
        <v>26.838999999999999</v>
      </c>
      <c r="BS110" s="164">
        <v>25.838999999999999</v>
      </c>
      <c r="BT110" s="164">
        <v>25.838999999999999</v>
      </c>
      <c r="BU110" s="164">
        <v>29.839000000000002</v>
      </c>
      <c r="BV110" s="165">
        <v>0</v>
      </c>
      <c r="BW110" s="165">
        <v>0</v>
      </c>
      <c r="BX110" s="166">
        <v>0</v>
      </c>
      <c r="BY110" s="166">
        <v>5.7722220000000002</v>
      </c>
      <c r="BZ110" s="166">
        <v>87.383332999999993</v>
      </c>
      <c r="CA110" s="166">
        <v>93.155555555555551</v>
      </c>
      <c r="CB110" s="166">
        <v>111.20555555555555</v>
      </c>
      <c r="CC110" s="166">
        <v>102.76666666666667</v>
      </c>
      <c r="CD110" s="166">
        <v>94.95</v>
      </c>
      <c r="CE110" s="166">
        <v>78.972222222222229</v>
      </c>
      <c r="CF110" s="166">
        <v>90.038888888888891</v>
      </c>
      <c r="CG110" s="166">
        <v>68.24444444444444</v>
      </c>
      <c r="CH110" s="166">
        <v>31.944444444444443</v>
      </c>
      <c r="CI110" s="166">
        <v>19.094444444444445</v>
      </c>
      <c r="CJ110" s="166">
        <v>0</v>
      </c>
      <c r="CK110" s="166">
        <v>0</v>
      </c>
      <c r="CL110" s="166">
        <v>0</v>
      </c>
      <c r="CM110" s="166">
        <v>0</v>
      </c>
      <c r="CN110" s="166">
        <v>546.17777777777781</v>
      </c>
      <c r="CO110" s="166">
        <v>51.038888888888891</v>
      </c>
      <c r="CP110" s="166">
        <v>0</v>
      </c>
      <c r="CQ110" s="166">
        <v>690.37222222222215</v>
      </c>
      <c r="CR110" s="166">
        <v>597.2166666666667</v>
      </c>
      <c r="CS110" s="166">
        <v>690.37222222222215</v>
      </c>
      <c r="CT110" s="166">
        <v>63.261111111111099</v>
      </c>
      <c r="CU110" s="166">
        <v>3.0222222222222199</v>
      </c>
      <c r="CV110" s="166">
        <v>66.283333333333317</v>
      </c>
      <c r="CW110" s="166">
        <v>693.39444444444439</v>
      </c>
      <c r="CX110" s="166">
        <v>0</v>
      </c>
      <c r="CY110" s="166">
        <v>167</v>
      </c>
      <c r="CZ110" s="165">
        <v>0</v>
      </c>
      <c r="DA110" s="165">
        <v>167</v>
      </c>
      <c r="DB110" s="165">
        <v>131</v>
      </c>
      <c r="DC110" s="165">
        <v>142</v>
      </c>
      <c r="DD110" s="165">
        <v>124</v>
      </c>
      <c r="DE110" s="165">
        <v>124</v>
      </c>
      <c r="DF110" s="165">
        <v>88</v>
      </c>
      <c r="DG110" s="165">
        <v>73</v>
      </c>
      <c r="DH110" s="165">
        <v>37</v>
      </c>
      <c r="DI110" s="165">
        <v>28</v>
      </c>
      <c r="DJ110" s="165">
        <v>41</v>
      </c>
      <c r="DK110" s="165">
        <v>49</v>
      </c>
      <c r="DL110" s="165">
        <v>40</v>
      </c>
      <c r="DM110" s="165">
        <v>25</v>
      </c>
      <c r="DN110" s="165">
        <v>682</v>
      </c>
      <c r="DO110" s="165">
        <v>65</v>
      </c>
      <c r="DP110" s="165">
        <v>155</v>
      </c>
      <c r="DQ110" s="165">
        <v>914</v>
      </c>
      <c r="DR110" s="165">
        <v>902</v>
      </c>
      <c r="DS110" s="165">
        <v>1069</v>
      </c>
      <c r="DT110" s="165">
        <v>0</v>
      </c>
      <c r="DU110" s="165">
        <v>72</v>
      </c>
      <c r="DV110" s="165">
        <v>94</v>
      </c>
      <c r="DW110" s="165">
        <v>6</v>
      </c>
      <c r="DX110" s="165">
        <v>100</v>
      </c>
      <c r="DY110" s="165">
        <v>1075</v>
      </c>
      <c r="DZ110" s="165">
        <v>3</v>
      </c>
      <c r="EA110" s="166">
        <v>42.841999999999999</v>
      </c>
      <c r="EB110" s="166">
        <v>40.841999999999999</v>
      </c>
      <c r="EC110" s="166">
        <v>24.987000000000002</v>
      </c>
      <c r="ED110" s="166">
        <v>11.33</v>
      </c>
      <c r="EE110" s="166">
        <v>0</v>
      </c>
      <c r="EF110" s="166">
        <v>46.342000000000006</v>
      </c>
      <c r="EG110" s="167">
        <v>4.4289559968702263E-2</v>
      </c>
      <c r="EH110" s="165"/>
      <c r="EI110" s="165">
        <v>140</v>
      </c>
      <c r="EJ110" s="165">
        <v>949</v>
      </c>
      <c r="EK110" s="165">
        <v>858</v>
      </c>
      <c r="EL110" s="165">
        <v>91</v>
      </c>
      <c r="EM110" s="165">
        <v>0</v>
      </c>
      <c r="EN110" s="165">
        <v>1089</v>
      </c>
      <c r="EO110" s="165">
        <v>0</v>
      </c>
      <c r="EP110" s="165">
        <v>112</v>
      </c>
      <c r="EQ110" s="165">
        <v>112</v>
      </c>
      <c r="ER110" s="165">
        <v>109</v>
      </c>
      <c r="ES110" s="165">
        <v>3</v>
      </c>
      <c r="ET110" s="165">
        <v>7</v>
      </c>
      <c r="EU110" s="166">
        <v>9.6999999999999993</v>
      </c>
      <c r="EV110" s="166">
        <v>2.2999999999999998</v>
      </c>
      <c r="EW110" s="166">
        <v>4.2</v>
      </c>
      <c r="EX110" s="166">
        <v>2.2000000000000002</v>
      </c>
      <c r="EY110" s="166">
        <v>5.5</v>
      </c>
      <c r="EZ110" s="166">
        <v>23.9</v>
      </c>
      <c r="FA110" s="166">
        <v>3.888888888888889E-2</v>
      </c>
      <c r="FB110" s="166">
        <v>164.23888888888888</v>
      </c>
      <c r="FC110" s="166">
        <v>164.27777777777777</v>
      </c>
      <c r="FD110" s="166">
        <v>125.21111111111111</v>
      </c>
      <c r="FE110" s="166">
        <v>136.75</v>
      </c>
      <c r="FF110" s="166">
        <v>120.05555555555556</v>
      </c>
      <c r="FG110" s="166">
        <v>113.98333333333333</v>
      </c>
      <c r="FH110" s="166">
        <v>83.783333333333331</v>
      </c>
      <c r="FI110" s="166">
        <v>69.855555555555554</v>
      </c>
      <c r="FJ110" s="166">
        <v>32.927777777777777</v>
      </c>
      <c r="FK110" s="166">
        <v>27.672222222222221</v>
      </c>
      <c r="FL110" s="166">
        <v>38.911111111111111</v>
      </c>
      <c r="FM110" s="166">
        <v>49.222222222222221</v>
      </c>
      <c r="FN110" s="166">
        <v>38.31111111111111</v>
      </c>
      <c r="FO110" s="166">
        <v>22.294444444444444</v>
      </c>
      <c r="FP110" s="166">
        <v>649.63888888888891</v>
      </c>
      <c r="FQ110" s="166">
        <v>60.599999999999994</v>
      </c>
      <c r="FR110" s="166">
        <v>148.73888888888888</v>
      </c>
      <c r="FS110" s="166">
        <v>874.51666666666677</v>
      </c>
      <c r="FT110" s="166">
        <v>858.97777777777787</v>
      </c>
      <c r="FU110" s="166">
        <v>1023.2555555555557</v>
      </c>
      <c r="FV110" s="166">
        <v>103.41111111111111</v>
      </c>
      <c r="FW110" s="166">
        <v>1.7611111111111111</v>
      </c>
      <c r="FX110" s="166">
        <v>105.17222222222222</v>
      </c>
      <c r="FY110" s="166">
        <v>1025.0166666666669</v>
      </c>
      <c r="FZ110" s="165">
        <v>0</v>
      </c>
      <c r="GA110" s="165">
        <v>169</v>
      </c>
      <c r="GB110" s="165">
        <v>169</v>
      </c>
      <c r="GC110" s="165">
        <v>201</v>
      </c>
      <c r="GD110" s="165">
        <v>137</v>
      </c>
      <c r="GE110" s="165">
        <v>129</v>
      </c>
      <c r="GF110" s="165">
        <v>106</v>
      </c>
      <c r="GG110" s="165">
        <v>105</v>
      </c>
      <c r="GH110" s="165">
        <v>86</v>
      </c>
      <c r="GI110" s="165">
        <v>44</v>
      </c>
      <c r="GJ110" s="165">
        <v>36</v>
      </c>
      <c r="GK110" s="165">
        <v>33</v>
      </c>
      <c r="GL110" s="165">
        <v>26</v>
      </c>
      <c r="GM110" s="165">
        <v>25</v>
      </c>
      <c r="GN110" s="165">
        <v>13</v>
      </c>
      <c r="GO110" s="165">
        <v>764</v>
      </c>
      <c r="GP110" s="165">
        <v>80</v>
      </c>
      <c r="GQ110" s="165">
        <v>97</v>
      </c>
      <c r="GR110" s="165">
        <v>1013</v>
      </c>
      <c r="GS110" s="165">
        <v>941</v>
      </c>
      <c r="GT110" s="165">
        <v>1110</v>
      </c>
      <c r="GU110" s="165">
        <v>0</v>
      </c>
      <c r="GV110" s="165">
        <v>83</v>
      </c>
      <c r="GW110" s="165">
        <v>97</v>
      </c>
      <c r="GX110" s="165">
        <v>2</v>
      </c>
      <c r="GY110" s="165">
        <v>99</v>
      </c>
      <c r="GZ110" s="165">
        <v>1112</v>
      </c>
      <c r="HA110" s="165">
        <v>6</v>
      </c>
      <c r="HB110" s="166">
        <v>46.042999999999999</v>
      </c>
      <c r="HC110" s="166">
        <v>46.042999999999999</v>
      </c>
      <c r="HD110" s="166">
        <v>34.518000000000001</v>
      </c>
      <c r="HE110" s="166">
        <v>6</v>
      </c>
      <c r="HF110" s="166"/>
      <c r="HG110" s="166">
        <v>55.042999999999999</v>
      </c>
      <c r="HH110" s="166">
        <v>0</v>
      </c>
      <c r="HI110" s="166">
        <v>111</v>
      </c>
      <c r="HJ110" s="166">
        <v>111</v>
      </c>
      <c r="HK110" s="166">
        <v>108</v>
      </c>
      <c r="HL110" s="166">
        <v>3</v>
      </c>
      <c r="HM110" s="166">
        <v>11</v>
      </c>
      <c r="HN110" s="166">
        <v>197</v>
      </c>
      <c r="HO110" s="166">
        <v>976</v>
      </c>
      <c r="HP110" s="166">
        <v>712</v>
      </c>
      <c r="HQ110" s="166">
        <v>87</v>
      </c>
      <c r="HR110" s="166">
        <v>177</v>
      </c>
      <c r="HS110" s="166">
        <v>1173</v>
      </c>
      <c r="HT110" s="166">
        <v>996</v>
      </c>
      <c r="HU110" s="166">
        <v>0</v>
      </c>
      <c r="HW110" s="170"/>
      <c r="HY110" s="170"/>
    </row>
    <row r="111" spans="1:233" ht="39">
      <c r="A111" s="158" t="s">
        <v>545</v>
      </c>
      <c r="B111" s="159" t="s">
        <v>546</v>
      </c>
      <c r="C111" s="160" t="s">
        <v>547</v>
      </c>
      <c r="D111" s="160" t="s">
        <v>139</v>
      </c>
      <c r="E111" s="159" t="s">
        <v>784</v>
      </c>
      <c r="F111" s="159" t="s">
        <v>784</v>
      </c>
      <c r="G111" s="159"/>
      <c r="H111" s="161">
        <v>82.044444444444451</v>
      </c>
      <c r="I111" s="161">
        <v>1.9111111111111112</v>
      </c>
      <c r="J111" s="161">
        <v>83.955555555555563</v>
      </c>
      <c r="K111" s="162">
        <v>59</v>
      </c>
      <c r="L111" s="162">
        <v>326</v>
      </c>
      <c r="M111" s="162">
        <v>195</v>
      </c>
      <c r="N111" s="162">
        <v>101</v>
      </c>
      <c r="O111" s="162">
        <v>681</v>
      </c>
      <c r="P111" s="162">
        <v>622</v>
      </c>
      <c r="Q111" s="162">
        <v>580</v>
      </c>
      <c r="R111" s="162">
        <v>3</v>
      </c>
      <c r="S111" s="160">
        <v>58</v>
      </c>
      <c r="T111" s="160">
        <v>50.022222222222226</v>
      </c>
      <c r="U111" s="160">
        <v>46.655555555555559</v>
      </c>
      <c r="V111" s="160">
        <v>54.972222222222221</v>
      </c>
      <c r="W111" s="160">
        <v>50.955555555555556</v>
      </c>
      <c r="X111" s="160">
        <v>51.072222222222223</v>
      </c>
      <c r="Y111" s="160">
        <v>61.261111111111113</v>
      </c>
      <c r="Z111" s="160">
        <v>91.35</v>
      </c>
      <c r="AA111" s="160">
        <v>101.26666666666667</v>
      </c>
      <c r="AB111" s="160">
        <v>94.172222222222217</v>
      </c>
      <c r="AC111" s="160">
        <v>0</v>
      </c>
      <c r="AD111" s="160">
        <v>0</v>
      </c>
      <c r="AE111" s="160">
        <v>0</v>
      </c>
      <c r="AF111" s="160">
        <v>314.93888888888887</v>
      </c>
      <c r="AG111" s="160">
        <v>192.61666666666667</v>
      </c>
      <c r="AH111" s="160">
        <v>94.172222222222217</v>
      </c>
      <c r="AI111" s="160">
        <v>565.55555555555554</v>
      </c>
      <c r="AJ111" s="160">
        <v>601.72777777777776</v>
      </c>
      <c r="AK111" s="160">
        <v>659.72777777777776</v>
      </c>
      <c r="AL111" s="161">
        <v>74.583333333333329</v>
      </c>
      <c r="AM111" s="161">
        <v>2.8</v>
      </c>
      <c r="AN111" s="161">
        <v>77.383333333333326</v>
      </c>
      <c r="AO111" s="161">
        <v>662.52777777777771</v>
      </c>
      <c r="AP111" s="162">
        <v>46</v>
      </c>
      <c r="AQ111" s="168">
        <v>68</v>
      </c>
      <c r="AR111" s="160">
        <v>51</v>
      </c>
      <c r="AS111" s="160">
        <v>51</v>
      </c>
      <c r="AT111" s="160">
        <v>51</v>
      </c>
      <c r="AU111" s="160">
        <v>53</v>
      </c>
      <c r="AV111" s="160">
        <v>55</v>
      </c>
      <c r="AW111" s="160">
        <v>86</v>
      </c>
      <c r="AX111" s="160">
        <v>104</v>
      </c>
      <c r="AY111" s="160">
        <v>101</v>
      </c>
      <c r="AZ111" s="160">
        <v>0</v>
      </c>
      <c r="BA111" s="160">
        <v>0</v>
      </c>
      <c r="BB111" s="160">
        <v>0</v>
      </c>
      <c r="BC111" s="160">
        <v>329</v>
      </c>
      <c r="BD111" s="160">
        <v>190</v>
      </c>
      <c r="BE111" s="160">
        <v>101</v>
      </c>
      <c r="BF111" s="160">
        <v>565</v>
      </c>
      <c r="BG111" s="160">
        <v>620</v>
      </c>
      <c r="BH111" s="160">
        <v>666</v>
      </c>
      <c r="BI111" s="160">
        <v>46</v>
      </c>
      <c r="BJ111" s="160">
        <v>0</v>
      </c>
      <c r="BK111" s="160">
        <v>0</v>
      </c>
      <c r="BL111" s="160">
        <v>21</v>
      </c>
      <c r="BM111" s="160">
        <v>82</v>
      </c>
      <c r="BN111" s="162">
        <v>1</v>
      </c>
      <c r="BO111" s="162">
        <v>83</v>
      </c>
      <c r="BP111" s="162">
        <v>5</v>
      </c>
      <c r="BQ111" s="163">
        <v>7.7049616396931309E-2</v>
      </c>
      <c r="BR111" s="164">
        <v>38.299999999999997</v>
      </c>
      <c r="BS111" s="164">
        <v>37</v>
      </c>
      <c r="BT111" s="164">
        <v>36</v>
      </c>
      <c r="BU111" s="164">
        <v>38.299999999999997</v>
      </c>
      <c r="BV111" s="165">
        <v>0</v>
      </c>
      <c r="BW111" s="165">
        <v>0</v>
      </c>
      <c r="BX111" s="166">
        <v>0</v>
      </c>
      <c r="BY111" s="166">
        <v>0</v>
      </c>
      <c r="BZ111" s="166">
        <v>44.65</v>
      </c>
      <c r="CA111" s="166">
        <v>44.65</v>
      </c>
      <c r="CB111" s="166">
        <v>66.683333333333337</v>
      </c>
      <c r="CC111" s="166">
        <v>50.827777777777776</v>
      </c>
      <c r="CD111" s="166">
        <v>50.327777777777776</v>
      </c>
      <c r="CE111" s="166">
        <v>50.983333333333334</v>
      </c>
      <c r="CF111" s="166">
        <v>52.12777777777778</v>
      </c>
      <c r="CG111" s="166">
        <v>53.62222222222222</v>
      </c>
      <c r="CH111" s="166">
        <v>86.777777777777771</v>
      </c>
      <c r="CI111" s="166">
        <v>102.77222222222223</v>
      </c>
      <c r="CJ111" s="166">
        <v>98.444444444444443</v>
      </c>
      <c r="CK111" s="166">
        <v>0</v>
      </c>
      <c r="CL111" s="166">
        <v>0</v>
      </c>
      <c r="CM111" s="166">
        <v>0</v>
      </c>
      <c r="CN111" s="166">
        <v>324.57222222222225</v>
      </c>
      <c r="CO111" s="166">
        <v>189.55</v>
      </c>
      <c r="CP111" s="166">
        <v>98.444444444444443</v>
      </c>
      <c r="CQ111" s="166">
        <v>558.77222222222224</v>
      </c>
      <c r="CR111" s="166">
        <v>612.56666666666672</v>
      </c>
      <c r="CS111" s="166">
        <v>657.2166666666667</v>
      </c>
      <c r="CT111" s="166">
        <v>85.316666666666706</v>
      </c>
      <c r="CU111" s="166">
        <v>1.3</v>
      </c>
      <c r="CV111" s="166">
        <v>86.616666666666703</v>
      </c>
      <c r="CW111" s="166">
        <v>658.51666666666665</v>
      </c>
      <c r="CX111" s="166">
        <v>0</v>
      </c>
      <c r="CY111" s="166">
        <v>43</v>
      </c>
      <c r="CZ111" s="165">
        <v>0</v>
      </c>
      <c r="DA111" s="165">
        <v>43</v>
      </c>
      <c r="DB111" s="165">
        <v>41</v>
      </c>
      <c r="DC111" s="165">
        <v>66</v>
      </c>
      <c r="DD111" s="165">
        <v>53</v>
      </c>
      <c r="DE111" s="165">
        <v>51</v>
      </c>
      <c r="DF111" s="165">
        <v>55</v>
      </c>
      <c r="DG111" s="165">
        <v>61</v>
      </c>
      <c r="DH111" s="165">
        <v>103</v>
      </c>
      <c r="DI111" s="165">
        <v>91</v>
      </c>
      <c r="DJ111" s="165">
        <v>104</v>
      </c>
      <c r="DK111" s="165">
        <v>0</v>
      </c>
      <c r="DL111" s="165">
        <v>0</v>
      </c>
      <c r="DM111" s="165">
        <v>0</v>
      </c>
      <c r="DN111" s="165">
        <v>327</v>
      </c>
      <c r="DO111" s="165">
        <v>194</v>
      </c>
      <c r="DP111" s="165">
        <v>104</v>
      </c>
      <c r="DQ111" s="165">
        <v>564</v>
      </c>
      <c r="DR111" s="165">
        <v>625</v>
      </c>
      <c r="DS111" s="165">
        <v>668</v>
      </c>
      <c r="DT111" s="165">
        <v>0</v>
      </c>
      <c r="DU111" s="165">
        <v>4</v>
      </c>
      <c r="DV111" s="165">
        <v>106</v>
      </c>
      <c r="DW111" s="165">
        <v>2</v>
      </c>
      <c r="DX111" s="165">
        <v>108</v>
      </c>
      <c r="DY111" s="165">
        <v>670</v>
      </c>
      <c r="DZ111" s="165">
        <v>3</v>
      </c>
      <c r="EA111" s="166">
        <v>41.3</v>
      </c>
      <c r="EB111" s="166">
        <v>40</v>
      </c>
      <c r="EC111" s="166">
        <v>18</v>
      </c>
      <c r="ED111" s="166">
        <v>18.690000000000001</v>
      </c>
      <c r="EE111" s="166">
        <v>0</v>
      </c>
      <c r="EF111" s="166">
        <v>42</v>
      </c>
      <c r="EG111" s="167">
        <v>7.9166666666666829E-2</v>
      </c>
      <c r="EH111" s="165"/>
      <c r="EI111" s="165">
        <v>46</v>
      </c>
      <c r="EJ111" s="165">
        <v>615</v>
      </c>
      <c r="EK111" s="165">
        <v>326</v>
      </c>
      <c r="EL111" s="165">
        <v>189</v>
      </c>
      <c r="EM111" s="165">
        <v>100</v>
      </c>
      <c r="EN111" s="165">
        <v>661</v>
      </c>
      <c r="EO111" s="165">
        <v>0</v>
      </c>
      <c r="EP111" s="165">
        <v>105</v>
      </c>
      <c r="EQ111" s="165">
        <v>105</v>
      </c>
      <c r="ER111" s="165">
        <v>103</v>
      </c>
      <c r="ES111" s="165">
        <v>2</v>
      </c>
      <c r="ET111" s="165">
        <v>0</v>
      </c>
      <c r="EU111" s="166">
        <v>14.625</v>
      </c>
      <c r="EV111" s="166">
        <v>0</v>
      </c>
      <c r="EW111" s="166">
        <v>2.7130000000000001</v>
      </c>
      <c r="EX111" s="166">
        <v>0</v>
      </c>
      <c r="EY111" s="166">
        <v>0</v>
      </c>
      <c r="EZ111" s="166">
        <v>17.338000000000001</v>
      </c>
      <c r="FA111" s="166">
        <v>0</v>
      </c>
      <c r="FB111" s="166">
        <v>42.444444444444443</v>
      </c>
      <c r="FC111" s="166">
        <v>42.444444444444443</v>
      </c>
      <c r="FD111" s="166">
        <v>39.527777777777779</v>
      </c>
      <c r="FE111" s="166">
        <v>62.455555555555556</v>
      </c>
      <c r="FF111" s="166">
        <v>52.211111111111109</v>
      </c>
      <c r="FG111" s="166">
        <v>49.466666666666669</v>
      </c>
      <c r="FH111" s="166">
        <v>52.583333333333336</v>
      </c>
      <c r="FI111" s="166">
        <v>61.327777777777776</v>
      </c>
      <c r="FJ111" s="166">
        <v>102.04444444444445</v>
      </c>
      <c r="FK111" s="166">
        <v>92.088888888888889</v>
      </c>
      <c r="FL111" s="166">
        <v>99.011111111111106</v>
      </c>
      <c r="FM111" s="166">
        <v>0</v>
      </c>
      <c r="FN111" s="166">
        <v>0</v>
      </c>
      <c r="FO111" s="166">
        <v>0</v>
      </c>
      <c r="FP111" s="166">
        <v>317.57222222222225</v>
      </c>
      <c r="FQ111" s="166">
        <v>194.13333333333333</v>
      </c>
      <c r="FR111" s="166">
        <v>99.011111111111106</v>
      </c>
      <c r="FS111" s="166">
        <v>554.15</v>
      </c>
      <c r="FT111" s="166">
        <v>610.7166666666667</v>
      </c>
      <c r="FU111" s="166">
        <v>653.16111111111104</v>
      </c>
      <c r="FV111" s="166">
        <v>106.32222222222222</v>
      </c>
      <c r="FW111" s="166">
        <v>4</v>
      </c>
      <c r="FX111" s="166">
        <v>110.32222222222222</v>
      </c>
      <c r="FY111" s="166">
        <v>657.16111111111104</v>
      </c>
      <c r="FZ111" s="165">
        <v>0</v>
      </c>
      <c r="GA111" s="165">
        <v>48</v>
      </c>
      <c r="GB111" s="165">
        <v>48</v>
      </c>
      <c r="GC111" s="165">
        <v>44</v>
      </c>
      <c r="GD111" s="165">
        <v>47</v>
      </c>
      <c r="GE111" s="165">
        <v>71</v>
      </c>
      <c r="GF111" s="165">
        <v>52</v>
      </c>
      <c r="GG111" s="165">
        <v>52</v>
      </c>
      <c r="GH111" s="165">
        <v>67</v>
      </c>
      <c r="GI111" s="165">
        <v>102</v>
      </c>
      <c r="GJ111" s="165">
        <v>100</v>
      </c>
      <c r="GK111" s="165">
        <v>88</v>
      </c>
      <c r="GL111" s="165">
        <v>0</v>
      </c>
      <c r="GM111" s="165">
        <v>0</v>
      </c>
      <c r="GN111" s="165">
        <v>0</v>
      </c>
      <c r="GO111" s="165">
        <v>333</v>
      </c>
      <c r="GP111" s="165">
        <v>202</v>
      </c>
      <c r="GQ111" s="165">
        <v>88</v>
      </c>
      <c r="GR111" s="165">
        <v>583</v>
      </c>
      <c r="GS111" s="165">
        <v>623</v>
      </c>
      <c r="GT111" s="165">
        <v>671</v>
      </c>
      <c r="GU111" s="165">
        <v>0</v>
      </c>
      <c r="GV111" s="165">
        <v>4</v>
      </c>
      <c r="GW111" s="165">
        <v>113</v>
      </c>
      <c r="GX111" s="165">
        <v>3</v>
      </c>
      <c r="GY111" s="165">
        <v>116</v>
      </c>
      <c r="GZ111" s="165">
        <v>674</v>
      </c>
      <c r="HA111" s="165">
        <v>0</v>
      </c>
      <c r="HB111" s="166">
        <v>41.75</v>
      </c>
      <c r="HC111" s="166">
        <v>38.75</v>
      </c>
      <c r="HD111" s="166">
        <v>18</v>
      </c>
      <c r="HE111" s="166">
        <v>17.439999999999998</v>
      </c>
      <c r="HF111" s="166"/>
      <c r="HG111" s="166">
        <v>41.75</v>
      </c>
      <c r="HH111" s="166">
        <v>0</v>
      </c>
      <c r="HI111" s="166">
        <v>106</v>
      </c>
      <c r="HJ111" s="166">
        <v>106</v>
      </c>
      <c r="HK111" s="166">
        <v>104</v>
      </c>
      <c r="HL111" s="166">
        <v>2</v>
      </c>
      <c r="HM111" s="166">
        <v>0</v>
      </c>
      <c r="HN111" s="166">
        <v>43</v>
      </c>
      <c r="HO111" s="166">
        <v>628</v>
      </c>
      <c r="HP111" s="166">
        <v>328</v>
      </c>
      <c r="HQ111" s="166">
        <v>195</v>
      </c>
      <c r="HR111" s="166">
        <v>105</v>
      </c>
      <c r="HS111" s="166">
        <v>671</v>
      </c>
      <c r="HT111" s="166">
        <f>FY26_FE_Data_April15[[#This Row],[Oct 1, 2026 (CDC) - K]]+FY26_FE_Data_April15[[#This Row],[Oct 1, 2026 (CDC) - Grades 1-6]]+FY26_FE_Data_April15[[#This Row],[Oct 1, 2026 (CDC) - Grades 7-8]]</f>
        <v>566</v>
      </c>
      <c r="HU111" s="166">
        <v>0</v>
      </c>
      <c r="HW111" s="170"/>
      <c r="HY111" s="170"/>
    </row>
    <row r="112" spans="1:233" ht="26">
      <c r="A112" s="158" t="s">
        <v>548</v>
      </c>
      <c r="B112" s="159" t="s">
        <v>549</v>
      </c>
      <c r="C112" s="160" t="s">
        <v>550</v>
      </c>
      <c r="D112" s="160" t="s">
        <v>139</v>
      </c>
      <c r="E112" s="159" t="s">
        <v>784</v>
      </c>
      <c r="F112" s="159" t="s">
        <v>784</v>
      </c>
      <c r="G112" s="159"/>
      <c r="H112" s="161">
        <v>72.011111111111106</v>
      </c>
      <c r="I112" s="161">
        <v>0.21111111111111111</v>
      </c>
      <c r="J112" s="161">
        <v>72.222222222222214</v>
      </c>
      <c r="K112" s="162">
        <v>69</v>
      </c>
      <c r="L112" s="162">
        <v>453</v>
      </c>
      <c r="M112" s="162">
        <v>0</v>
      </c>
      <c r="N112" s="162">
        <v>0</v>
      </c>
      <c r="O112" s="162">
        <v>522</v>
      </c>
      <c r="P112" s="162">
        <v>453</v>
      </c>
      <c r="Q112" s="162">
        <v>522</v>
      </c>
      <c r="R112" s="162">
        <v>0</v>
      </c>
      <c r="S112" s="160">
        <v>68.388888888888886</v>
      </c>
      <c r="T112" s="160">
        <v>83.738888888888894</v>
      </c>
      <c r="U112" s="160">
        <v>76.316666666666663</v>
      </c>
      <c r="V112" s="160">
        <v>74.038888888888891</v>
      </c>
      <c r="W112" s="160">
        <v>76.166666666666671</v>
      </c>
      <c r="X112" s="160">
        <v>69.349999999999994</v>
      </c>
      <c r="Y112" s="160">
        <v>73.677777777777777</v>
      </c>
      <c r="Z112" s="160">
        <v>0</v>
      </c>
      <c r="AA112" s="160">
        <v>0</v>
      </c>
      <c r="AB112" s="160">
        <v>0</v>
      </c>
      <c r="AC112" s="160">
        <v>0</v>
      </c>
      <c r="AD112" s="160">
        <v>0</v>
      </c>
      <c r="AE112" s="160">
        <v>0</v>
      </c>
      <c r="AF112" s="160">
        <v>453.28888888888889</v>
      </c>
      <c r="AG112" s="160">
        <v>0</v>
      </c>
      <c r="AH112" s="160">
        <v>0</v>
      </c>
      <c r="AI112" s="160">
        <v>521.67777777777781</v>
      </c>
      <c r="AJ112" s="160">
        <v>453.28888888888889</v>
      </c>
      <c r="AK112" s="160">
        <v>521.67777777777781</v>
      </c>
      <c r="AL112" s="161">
        <v>74.25</v>
      </c>
      <c r="AM112" s="161">
        <v>0</v>
      </c>
      <c r="AN112" s="161">
        <v>74.25</v>
      </c>
      <c r="AO112" s="161">
        <v>521.67777777777781</v>
      </c>
      <c r="AP112" s="162">
        <v>82</v>
      </c>
      <c r="AQ112" s="168">
        <v>70</v>
      </c>
      <c r="AR112" s="160">
        <v>83</v>
      </c>
      <c r="AS112" s="160">
        <v>81</v>
      </c>
      <c r="AT112" s="160">
        <v>77</v>
      </c>
      <c r="AU112" s="160">
        <v>69</v>
      </c>
      <c r="AV112" s="160">
        <v>70</v>
      </c>
      <c r="AW112" s="160">
        <v>0</v>
      </c>
      <c r="AX112" s="160">
        <v>0</v>
      </c>
      <c r="AY112" s="160">
        <v>0</v>
      </c>
      <c r="AZ112" s="160">
        <v>0</v>
      </c>
      <c r="BA112" s="160">
        <v>0</v>
      </c>
      <c r="BB112" s="160">
        <v>0</v>
      </c>
      <c r="BC112" s="160">
        <v>450</v>
      </c>
      <c r="BD112" s="160">
        <v>0</v>
      </c>
      <c r="BE112" s="160">
        <v>0</v>
      </c>
      <c r="BF112" s="160">
        <v>532</v>
      </c>
      <c r="BG112" s="160">
        <v>450</v>
      </c>
      <c r="BH112" s="160">
        <v>532</v>
      </c>
      <c r="BI112" s="160">
        <v>42</v>
      </c>
      <c r="BJ112" s="160">
        <v>40</v>
      </c>
      <c r="BK112" s="160">
        <v>0</v>
      </c>
      <c r="BL112" s="160">
        <v>149</v>
      </c>
      <c r="BM112" s="160">
        <v>79</v>
      </c>
      <c r="BN112" s="162">
        <v>0</v>
      </c>
      <c r="BO112" s="162">
        <v>79</v>
      </c>
      <c r="BP112" s="162">
        <v>7</v>
      </c>
      <c r="BQ112" s="163">
        <v>7.03125E-2</v>
      </c>
      <c r="BR112" s="164">
        <v>25.125</v>
      </c>
      <c r="BS112" s="164">
        <v>24.125</v>
      </c>
      <c r="BT112" s="164">
        <v>24.125</v>
      </c>
      <c r="BU112" s="164">
        <v>27.125</v>
      </c>
      <c r="BV112" s="165">
        <v>0</v>
      </c>
      <c r="BW112" s="165">
        <v>0</v>
      </c>
      <c r="BX112" s="166">
        <v>0</v>
      </c>
      <c r="BY112" s="166">
        <v>38.905555</v>
      </c>
      <c r="BZ112" s="166">
        <v>41.166665999999999</v>
      </c>
      <c r="CA112" s="166">
        <v>80.072222222222223</v>
      </c>
      <c r="CB112" s="166">
        <v>68.294444444444451</v>
      </c>
      <c r="CC112" s="166">
        <v>80.805555555555557</v>
      </c>
      <c r="CD112" s="166">
        <v>80.861111111111114</v>
      </c>
      <c r="CE112" s="166">
        <v>76.75555555555556</v>
      </c>
      <c r="CF112" s="166">
        <v>70.49444444444444</v>
      </c>
      <c r="CG112" s="166">
        <v>70.694444444444443</v>
      </c>
      <c r="CH112" s="166">
        <v>0</v>
      </c>
      <c r="CI112" s="166">
        <v>0</v>
      </c>
      <c r="CJ112" s="166">
        <v>0</v>
      </c>
      <c r="CK112" s="166">
        <v>0</v>
      </c>
      <c r="CL112" s="166">
        <v>0</v>
      </c>
      <c r="CM112" s="166">
        <v>0</v>
      </c>
      <c r="CN112" s="166">
        <v>447.90555555555557</v>
      </c>
      <c r="CO112" s="166">
        <v>0</v>
      </c>
      <c r="CP112" s="166">
        <v>0</v>
      </c>
      <c r="CQ112" s="166">
        <v>527.97777777777776</v>
      </c>
      <c r="CR112" s="166">
        <v>447.90555555555557</v>
      </c>
      <c r="CS112" s="166">
        <v>527.97777777777776</v>
      </c>
      <c r="CT112" s="166">
        <v>79.077777777777797</v>
      </c>
      <c r="CU112" s="166">
        <v>0</v>
      </c>
      <c r="CV112" s="166">
        <v>79.077777777777797</v>
      </c>
      <c r="CW112" s="166">
        <v>527.97777777777776</v>
      </c>
      <c r="CX112" s="166">
        <v>0</v>
      </c>
      <c r="CY112" s="166">
        <v>43</v>
      </c>
      <c r="CZ112" s="165">
        <v>33</v>
      </c>
      <c r="DA112" s="165">
        <v>76</v>
      </c>
      <c r="DB112" s="165">
        <v>76</v>
      </c>
      <c r="DC112" s="165">
        <v>73</v>
      </c>
      <c r="DD112" s="165">
        <v>77</v>
      </c>
      <c r="DE112" s="165">
        <v>79</v>
      </c>
      <c r="DF112" s="165">
        <v>74</v>
      </c>
      <c r="DG112" s="165">
        <v>74</v>
      </c>
      <c r="DH112" s="165">
        <v>0</v>
      </c>
      <c r="DI112" s="165">
        <v>0</v>
      </c>
      <c r="DJ112" s="165">
        <v>0</v>
      </c>
      <c r="DK112" s="165">
        <v>0</v>
      </c>
      <c r="DL112" s="165">
        <v>0</v>
      </c>
      <c r="DM112" s="165">
        <v>0</v>
      </c>
      <c r="DN112" s="165">
        <v>453</v>
      </c>
      <c r="DO112" s="165">
        <v>0</v>
      </c>
      <c r="DP112" s="165">
        <v>0</v>
      </c>
      <c r="DQ112" s="165">
        <v>529</v>
      </c>
      <c r="DR112" s="165">
        <v>453</v>
      </c>
      <c r="DS112" s="165">
        <v>529</v>
      </c>
      <c r="DT112" s="165">
        <v>0</v>
      </c>
      <c r="DU112" s="165">
        <v>111</v>
      </c>
      <c r="DV112" s="165">
        <v>78</v>
      </c>
      <c r="DW112" s="165">
        <v>0</v>
      </c>
      <c r="DX112" s="165">
        <v>78</v>
      </c>
      <c r="DY112" s="165">
        <v>529</v>
      </c>
      <c r="DZ112" s="165">
        <v>5</v>
      </c>
      <c r="EA112" s="166">
        <v>25.125</v>
      </c>
      <c r="EB112" s="166">
        <v>24.125</v>
      </c>
      <c r="EC112" s="166">
        <v>21.125</v>
      </c>
      <c r="ED112" s="166">
        <v>0</v>
      </c>
      <c r="EE112" s="166">
        <v>0</v>
      </c>
      <c r="EF112" s="166">
        <v>28.125</v>
      </c>
      <c r="EG112" s="167">
        <v>8.1481481481481544E-2</v>
      </c>
      <c r="EH112" s="165"/>
      <c r="EI112" s="165">
        <v>75</v>
      </c>
      <c r="EJ112" s="165">
        <v>449</v>
      </c>
      <c r="EK112" s="165">
        <v>449</v>
      </c>
      <c r="EL112" s="165">
        <v>0</v>
      </c>
      <c r="EM112" s="165">
        <v>0</v>
      </c>
      <c r="EN112" s="165">
        <v>524</v>
      </c>
      <c r="EO112" s="165">
        <v>0</v>
      </c>
      <c r="EP112" s="165">
        <v>78</v>
      </c>
      <c r="EQ112" s="165">
        <v>78</v>
      </c>
      <c r="ER112" s="165">
        <v>78</v>
      </c>
      <c r="ES112" s="165">
        <v>0</v>
      </c>
      <c r="ET112" s="165">
        <v>6</v>
      </c>
      <c r="EU112" s="166">
        <v>16.07</v>
      </c>
      <c r="EV112" s="166">
        <v>0</v>
      </c>
      <c r="EW112" s="166">
        <v>2</v>
      </c>
      <c r="EX112" s="166">
        <v>0</v>
      </c>
      <c r="EY112" s="166">
        <v>4.5999999999999996</v>
      </c>
      <c r="EZ112" s="166">
        <v>22.67</v>
      </c>
      <c r="FA112" s="166">
        <v>32.205555555555556</v>
      </c>
      <c r="FB112" s="166">
        <v>43</v>
      </c>
      <c r="FC112" s="166">
        <v>75.205555555555549</v>
      </c>
      <c r="FD112" s="166">
        <v>76.12777777777778</v>
      </c>
      <c r="FE112" s="166">
        <v>71.411111111111111</v>
      </c>
      <c r="FF112" s="166">
        <v>77.283333333333331</v>
      </c>
      <c r="FG112" s="166">
        <v>78.794444444444451</v>
      </c>
      <c r="FH112" s="166">
        <v>73.827777777777783</v>
      </c>
      <c r="FI112" s="166">
        <v>73.944444444444443</v>
      </c>
      <c r="FJ112" s="166">
        <v>0</v>
      </c>
      <c r="FK112" s="166">
        <v>0</v>
      </c>
      <c r="FL112" s="166">
        <v>0</v>
      </c>
      <c r="FM112" s="166">
        <v>0</v>
      </c>
      <c r="FN112" s="166">
        <v>0</v>
      </c>
      <c r="FO112" s="166">
        <v>0</v>
      </c>
      <c r="FP112" s="166">
        <v>451.38888888888891</v>
      </c>
      <c r="FQ112" s="166">
        <v>0</v>
      </c>
      <c r="FR112" s="166">
        <v>0</v>
      </c>
      <c r="FS112" s="166">
        <v>526.59444444444443</v>
      </c>
      <c r="FT112" s="166">
        <v>451.38888888888891</v>
      </c>
      <c r="FU112" s="166">
        <v>526.59444444444443</v>
      </c>
      <c r="FV112" s="166">
        <v>78.177777777777777</v>
      </c>
      <c r="FW112" s="166">
        <v>0</v>
      </c>
      <c r="FX112" s="166">
        <v>78.177777777777777</v>
      </c>
      <c r="FY112" s="166">
        <v>526.59444444444443</v>
      </c>
      <c r="FZ112" s="165">
        <v>32</v>
      </c>
      <c r="GA112" s="165">
        <v>43</v>
      </c>
      <c r="GB112" s="165">
        <v>75</v>
      </c>
      <c r="GC112" s="165">
        <v>75</v>
      </c>
      <c r="GD112" s="165">
        <v>79</v>
      </c>
      <c r="GE112" s="165">
        <v>74</v>
      </c>
      <c r="GF112" s="165">
        <v>78</v>
      </c>
      <c r="GG112" s="165">
        <v>76</v>
      </c>
      <c r="GH112" s="165">
        <v>72</v>
      </c>
      <c r="GI112" s="165">
        <v>0</v>
      </c>
      <c r="GJ112" s="165">
        <v>0</v>
      </c>
      <c r="GK112" s="165">
        <v>0</v>
      </c>
      <c r="GL112" s="165">
        <v>0</v>
      </c>
      <c r="GM112" s="165">
        <v>0</v>
      </c>
      <c r="GN112" s="165">
        <v>0</v>
      </c>
      <c r="GO112" s="165">
        <v>454</v>
      </c>
      <c r="GP112" s="165">
        <v>0</v>
      </c>
      <c r="GQ112" s="165">
        <v>0</v>
      </c>
      <c r="GR112" s="165">
        <v>529</v>
      </c>
      <c r="GS112" s="165">
        <v>454</v>
      </c>
      <c r="GT112" s="165">
        <v>529</v>
      </c>
      <c r="GU112" s="165">
        <v>0</v>
      </c>
      <c r="GV112" s="165">
        <v>113</v>
      </c>
      <c r="GW112" s="165">
        <v>85</v>
      </c>
      <c r="GX112" s="165">
        <v>1</v>
      </c>
      <c r="GY112" s="165">
        <v>86</v>
      </c>
      <c r="GZ112" s="165">
        <v>530</v>
      </c>
      <c r="HA112" s="165">
        <v>2</v>
      </c>
      <c r="HB112" s="166">
        <v>26.125</v>
      </c>
      <c r="HC112" s="166">
        <v>25.125</v>
      </c>
      <c r="HD112" s="166">
        <v>21.125</v>
      </c>
      <c r="HE112" s="166">
        <v>0</v>
      </c>
      <c r="HF112" s="166"/>
      <c r="HG112" s="166">
        <v>27.125</v>
      </c>
      <c r="HH112" s="166">
        <v>0</v>
      </c>
      <c r="HI112" s="166">
        <v>86</v>
      </c>
      <c r="HJ112" s="166">
        <v>86</v>
      </c>
      <c r="HK112" s="166">
        <v>85</v>
      </c>
      <c r="HL112" s="166">
        <v>1</v>
      </c>
      <c r="HM112" s="166">
        <v>7</v>
      </c>
      <c r="HN112" s="166">
        <v>100</v>
      </c>
      <c r="HO112" s="166">
        <v>450</v>
      </c>
      <c r="HP112" s="166">
        <v>450</v>
      </c>
      <c r="HQ112" s="166">
        <v>0</v>
      </c>
      <c r="HR112" s="166">
        <v>0</v>
      </c>
      <c r="HS112" s="166">
        <v>550</v>
      </c>
      <c r="HT112" s="166">
        <f>FY26_FE_Data_April15[[#This Row],[Oct 1, 2026 (CDC) - K]]+FY26_FE_Data_April15[[#This Row],[Oct 1, 2026 (CDC) - Grades 1-6]]+FY26_FE_Data_April15[[#This Row],[Oct 1, 2026 (CDC) - Grades 7-8]]</f>
        <v>550</v>
      </c>
      <c r="HU112" s="166">
        <v>0</v>
      </c>
      <c r="HW112" s="170"/>
      <c r="HY112" s="170"/>
    </row>
    <row r="113" spans="1:233" ht="52">
      <c r="A113" s="158" t="s">
        <v>551</v>
      </c>
      <c r="B113" s="159" t="s">
        <v>552</v>
      </c>
      <c r="C113" s="160" t="s">
        <v>553</v>
      </c>
      <c r="D113" s="160" t="s">
        <v>139</v>
      </c>
      <c r="E113" s="159" t="s">
        <v>784</v>
      </c>
      <c r="F113" s="159" t="s">
        <v>784</v>
      </c>
      <c r="G113" s="159"/>
      <c r="H113" s="161">
        <v>67.805555555555557</v>
      </c>
      <c r="I113" s="161">
        <v>3.3111111111111109</v>
      </c>
      <c r="J113" s="161">
        <v>71.116666666666674</v>
      </c>
      <c r="K113" s="162">
        <v>48</v>
      </c>
      <c r="L113" s="162">
        <v>314</v>
      </c>
      <c r="M113" s="162">
        <v>74</v>
      </c>
      <c r="N113" s="162">
        <v>27</v>
      </c>
      <c r="O113" s="162">
        <v>463</v>
      </c>
      <c r="P113" s="162">
        <v>415</v>
      </c>
      <c r="Q113" s="162">
        <v>436</v>
      </c>
      <c r="R113" s="162">
        <v>3</v>
      </c>
      <c r="S113" s="160">
        <v>48.75</v>
      </c>
      <c r="T113" s="160">
        <v>51.18333333333333</v>
      </c>
      <c r="U113" s="160">
        <v>49.93888888888889</v>
      </c>
      <c r="V113" s="160">
        <v>53.783333333333331</v>
      </c>
      <c r="W113" s="160">
        <v>52.93888888888889</v>
      </c>
      <c r="X113" s="160">
        <v>54.038888888888891</v>
      </c>
      <c r="Y113" s="160">
        <v>44.322222222222223</v>
      </c>
      <c r="Z113" s="160">
        <v>42.944444444444443</v>
      </c>
      <c r="AA113" s="160">
        <v>28.627777777777776</v>
      </c>
      <c r="AB113" s="160">
        <v>27.05</v>
      </c>
      <c r="AC113" s="160">
        <v>0</v>
      </c>
      <c r="AD113" s="160">
        <v>0</v>
      </c>
      <c r="AE113" s="160">
        <v>0</v>
      </c>
      <c r="AF113" s="160">
        <v>306.20555555555552</v>
      </c>
      <c r="AG113" s="160">
        <v>71.572222222222223</v>
      </c>
      <c r="AH113" s="160">
        <v>27.05</v>
      </c>
      <c r="AI113" s="160">
        <v>426.52777777777777</v>
      </c>
      <c r="AJ113" s="160">
        <v>404.82777777777778</v>
      </c>
      <c r="AK113" s="160">
        <v>453.57777777777778</v>
      </c>
      <c r="AL113" s="161">
        <v>66.444444444444443</v>
      </c>
      <c r="AM113" s="161">
        <v>1.3277777777777777</v>
      </c>
      <c r="AN113" s="161">
        <v>67.772222222222226</v>
      </c>
      <c r="AO113" s="161">
        <v>454.90555555555557</v>
      </c>
      <c r="AP113" s="162">
        <v>69</v>
      </c>
      <c r="AQ113" s="168">
        <v>47</v>
      </c>
      <c r="AR113" s="160">
        <v>51</v>
      </c>
      <c r="AS113" s="160">
        <v>57</v>
      </c>
      <c r="AT113" s="160">
        <v>52</v>
      </c>
      <c r="AU113" s="160">
        <v>53</v>
      </c>
      <c r="AV113" s="160">
        <v>55</v>
      </c>
      <c r="AW113" s="160">
        <v>21</v>
      </c>
      <c r="AX113" s="160">
        <v>37</v>
      </c>
      <c r="AY113" s="160">
        <v>21</v>
      </c>
      <c r="AZ113" s="160">
        <v>0</v>
      </c>
      <c r="BA113" s="160">
        <v>0</v>
      </c>
      <c r="BB113" s="160">
        <v>0</v>
      </c>
      <c r="BC113" s="160">
        <v>315</v>
      </c>
      <c r="BD113" s="160">
        <v>58</v>
      </c>
      <c r="BE113" s="160">
        <v>21</v>
      </c>
      <c r="BF113" s="160">
        <v>442</v>
      </c>
      <c r="BG113" s="160">
        <v>394</v>
      </c>
      <c r="BH113" s="160">
        <v>463</v>
      </c>
      <c r="BI113" s="160">
        <v>25</v>
      </c>
      <c r="BJ113" s="160">
        <v>44</v>
      </c>
      <c r="BK113" s="160">
        <v>0</v>
      </c>
      <c r="BL113" s="160">
        <v>78</v>
      </c>
      <c r="BM113" s="160">
        <v>68</v>
      </c>
      <c r="BN113" s="162">
        <v>2</v>
      </c>
      <c r="BO113" s="162">
        <v>70</v>
      </c>
      <c r="BP113" s="162">
        <v>14</v>
      </c>
      <c r="BQ113" s="163">
        <v>7.006097560975616E-2</v>
      </c>
      <c r="BR113" s="164">
        <v>27.116</v>
      </c>
      <c r="BS113" s="164">
        <v>26.116</v>
      </c>
      <c r="BT113" s="164">
        <v>25.116</v>
      </c>
      <c r="BU113" s="164">
        <v>27.116</v>
      </c>
      <c r="BV113" s="165">
        <v>0</v>
      </c>
      <c r="BW113" s="165">
        <v>0</v>
      </c>
      <c r="BX113" s="166">
        <v>0</v>
      </c>
      <c r="BY113" s="166">
        <v>43.2</v>
      </c>
      <c r="BZ113" s="166">
        <v>24.477777</v>
      </c>
      <c r="CA113" s="166">
        <v>67.677777777777777</v>
      </c>
      <c r="CB113" s="166">
        <v>51.144444444444446</v>
      </c>
      <c r="CC113" s="166">
        <v>45.68333333333333</v>
      </c>
      <c r="CD113" s="166">
        <v>53.644444444444446</v>
      </c>
      <c r="CE113" s="166">
        <v>51.255555555555553</v>
      </c>
      <c r="CF113" s="166">
        <v>50.522222222222226</v>
      </c>
      <c r="CG113" s="166">
        <v>54.716666666666669</v>
      </c>
      <c r="CH113" s="166">
        <v>20.588888888888889</v>
      </c>
      <c r="CI113" s="166">
        <v>34.444444444444443</v>
      </c>
      <c r="CJ113" s="166">
        <v>20.18888888888889</v>
      </c>
      <c r="CK113" s="166">
        <v>0</v>
      </c>
      <c r="CL113" s="166">
        <v>0</v>
      </c>
      <c r="CM113" s="166">
        <v>0</v>
      </c>
      <c r="CN113" s="166">
        <v>306.9666666666667</v>
      </c>
      <c r="CO113" s="166">
        <v>55.033333333333331</v>
      </c>
      <c r="CP113" s="166">
        <v>20.18888888888889</v>
      </c>
      <c r="CQ113" s="166">
        <v>429.67777777777786</v>
      </c>
      <c r="CR113" s="166">
        <v>382.18888888888893</v>
      </c>
      <c r="CS113" s="166">
        <v>449.86666666666673</v>
      </c>
      <c r="CT113" s="166">
        <v>64.877777777777794</v>
      </c>
      <c r="CU113" s="166">
        <v>3</v>
      </c>
      <c r="CV113" s="166">
        <v>67.877777777777794</v>
      </c>
      <c r="CW113" s="166">
        <v>452.86666666666673</v>
      </c>
      <c r="CX113" s="166">
        <v>0</v>
      </c>
      <c r="CY113" s="166">
        <v>45</v>
      </c>
      <c r="CZ113" s="165">
        <v>8</v>
      </c>
      <c r="DA113" s="165">
        <v>53</v>
      </c>
      <c r="DB113" s="165">
        <v>52</v>
      </c>
      <c r="DC113" s="165">
        <v>55</v>
      </c>
      <c r="DD113" s="165">
        <v>51</v>
      </c>
      <c r="DE113" s="165">
        <v>52</v>
      </c>
      <c r="DF113" s="165">
        <v>52</v>
      </c>
      <c r="DG113" s="165">
        <v>54</v>
      </c>
      <c r="DH113" s="165">
        <v>34</v>
      </c>
      <c r="DI113" s="165">
        <v>21</v>
      </c>
      <c r="DJ113" s="165">
        <v>27</v>
      </c>
      <c r="DK113" s="165">
        <v>0</v>
      </c>
      <c r="DL113" s="165">
        <v>0</v>
      </c>
      <c r="DM113" s="165">
        <v>0</v>
      </c>
      <c r="DN113" s="165">
        <v>316</v>
      </c>
      <c r="DO113" s="165">
        <v>55</v>
      </c>
      <c r="DP113" s="165">
        <v>27</v>
      </c>
      <c r="DQ113" s="165">
        <v>424</v>
      </c>
      <c r="DR113" s="165">
        <v>398</v>
      </c>
      <c r="DS113" s="165">
        <v>451</v>
      </c>
      <c r="DT113" s="165">
        <v>0</v>
      </c>
      <c r="DU113" s="165">
        <v>76</v>
      </c>
      <c r="DV113" s="165">
        <v>72</v>
      </c>
      <c r="DW113" s="165">
        <v>3</v>
      </c>
      <c r="DX113" s="165">
        <v>75</v>
      </c>
      <c r="DY113" s="165">
        <v>454</v>
      </c>
      <c r="DZ113" s="165">
        <v>19</v>
      </c>
      <c r="EA113" s="166">
        <v>27.145000000000003</v>
      </c>
      <c r="EB113" s="166">
        <v>26.145000000000003</v>
      </c>
      <c r="EC113" s="166">
        <v>16.36</v>
      </c>
      <c r="ED113" s="166">
        <v>5.7299999999999995</v>
      </c>
      <c r="EE113" s="166">
        <v>0</v>
      </c>
      <c r="EF113" s="166">
        <v>27.145</v>
      </c>
      <c r="EG113" s="167">
        <v>7.3668216286247756E-2</v>
      </c>
      <c r="EH113" s="165"/>
      <c r="EI113" s="165">
        <v>51</v>
      </c>
      <c r="EJ113" s="165">
        <v>398</v>
      </c>
      <c r="EK113" s="165">
        <v>316</v>
      </c>
      <c r="EL113" s="165">
        <v>63</v>
      </c>
      <c r="EM113" s="165">
        <v>19</v>
      </c>
      <c r="EN113" s="165">
        <v>449</v>
      </c>
      <c r="EO113" s="165">
        <v>0</v>
      </c>
      <c r="EP113" s="165">
        <v>72</v>
      </c>
      <c r="EQ113" s="165">
        <v>72</v>
      </c>
      <c r="ER113" s="165">
        <v>68</v>
      </c>
      <c r="ES113" s="165">
        <v>4</v>
      </c>
      <c r="ET113" s="165">
        <v>5</v>
      </c>
      <c r="EU113" s="166">
        <v>19.75</v>
      </c>
      <c r="EV113" s="166">
        <v>0</v>
      </c>
      <c r="EW113" s="166">
        <v>2.625</v>
      </c>
      <c r="EX113" s="166">
        <v>0</v>
      </c>
      <c r="EY113" s="166">
        <v>3.9249999999999998</v>
      </c>
      <c r="EZ113" s="166">
        <v>26.3</v>
      </c>
      <c r="FA113" s="166">
        <v>3</v>
      </c>
      <c r="FB113" s="166">
        <v>48.405555555555559</v>
      </c>
      <c r="FC113" s="166">
        <v>51.405555555555559</v>
      </c>
      <c r="FD113" s="166">
        <v>49.338888888888889</v>
      </c>
      <c r="FE113" s="166">
        <v>55.227777777777774</v>
      </c>
      <c r="FF113" s="166">
        <v>49.35</v>
      </c>
      <c r="FG113" s="166">
        <v>51.072222222222223</v>
      </c>
      <c r="FH113" s="166">
        <v>50.522222222222226</v>
      </c>
      <c r="FI113" s="166">
        <v>52.238888888888887</v>
      </c>
      <c r="FJ113" s="166">
        <v>34.022222222222226</v>
      </c>
      <c r="FK113" s="166">
        <v>20.177777777777777</v>
      </c>
      <c r="FL113" s="166">
        <v>27.005555555555556</v>
      </c>
      <c r="FM113" s="166">
        <v>0</v>
      </c>
      <c r="FN113" s="166">
        <v>0</v>
      </c>
      <c r="FO113" s="166">
        <v>0</v>
      </c>
      <c r="FP113" s="166">
        <v>307.75</v>
      </c>
      <c r="FQ113" s="166">
        <v>54.2</v>
      </c>
      <c r="FR113" s="166">
        <v>27.005555555555556</v>
      </c>
      <c r="FS113" s="166">
        <v>413.35555555555561</v>
      </c>
      <c r="FT113" s="166">
        <v>388.95555555555558</v>
      </c>
      <c r="FU113" s="166">
        <v>440.36111111111114</v>
      </c>
      <c r="FV113" s="166">
        <v>57.294444444444444</v>
      </c>
      <c r="FW113" s="166">
        <v>2.7388888888888889</v>
      </c>
      <c r="FX113" s="166">
        <v>60.033333333333331</v>
      </c>
      <c r="FY113" s="166">
        <v>443.1</v>
      </c>
      <c r="FZ113" s="165">
        <v>4</v>
      </c>
      <c r="GA113" s="165">
        <v>49</v>
      </c>
      <c r="GB113" s="165">
        <v>53</v>
      </c>
      <c r="GC113" s="165">
        <v>52</v>
      </c>
      <c r="GD113" s="165">
        <v>52</v>
      </c>
      <c r="GE113" s="165">
        <v>55</v>
      </c>
      <c r="GF113" s="165">
        <v>51</v>
      </c>
      <c r="GG113" s="165">
        <v>53</v>
      </c>
      <c r="GH113" s="165">
        <v>50</v>
      </c>
      <c r="GI113" s="165">
        <v>39</v>
      </c>
      <c r="GJ113" s="165">
        <v>33</v>
      </c>
      <c r="GK113" s="165">
        <v>18</v>
      </c>
      <c r="GL113" s="165">
        <v>0</v>
      </c>
      <c r="GM113" s="165">
        <v>0</v>
      </c>
      <c r="GN113" s="165">
        <v>0</v>
      </c>
      <c r="GO113" s="165">
        <v>313</v>
      </c>
      <c r="GP113" s="165">
        <v>72</v>
      </c>
      <c r="GQ113" s="165">
        <v>18</v>
      </c>
      <c r="GR113" s="165">
        <v>438</v>
      </c>
      <c r="GS113" s="165">
        <v>403</v>
      </c>
      <c r="GT113" s="165">
        <v>456</v>
      </c>
      <c r="GU113" s="165">
        <v>0</v>
      </c>
      <c r="GV113" s="165">
        <v>83</v>
      </c>
      <c r="GW113" s="165">
        <v>61</v>
      </c>
      <c r="GX113" s="165">
        <v>1</v>
      </c>
      <c r="GY113" s="165">
        <v>62</v>
      </c>
      <c r="GZ113" s="165">
        <v>457</v>
      </c>
      <c r="HA113" s="165">
        <v>21</v>
      </c>
      <c r="HB113" s="166">
        <v>27.16</v>
      </c>
      <c r="HC113" s="166">
        <v>26.16</v>
      </c>
      <c r="HD113" s="166">
        <v>16.369999999999997</v>
      </c>
      <c r="HE113" s="166">
        <v>6.03</v>
      </c>
      <c r="HF113" s="166"/>
      <c r="HG113" s="166">
        <v>27.16</v>
      </c>
      <c r="HH113" s="166">
        <v>0</v>
      </c>
      <c r="HI113" s="166">
        <v>57</v>
      </c>
      <c r="HJ113" s="166">
        <v>57</v>
      </c>
      <c r="HK113" s="166">
        <v>56</v>
      </c>
      <c r="HL113" s="166">
        <v>1</v>
      </c>
      <c r="HM113" s="166">
        <v>5</v>
      </c>
      <c r="HN113" s="166">
        <v>53</v>
      </c>
      <c r="HO113" s="166">
        <v>414</v>
      </c>
      <c r="HP113" s="166">
        <v>316</v>
      </c>
      <c r="HQ113" s="166">
        <v>76</v>
      </c>
      <c r="HR113" s="166">
        <v>22</v>
      </c>
      <c r="HS113" s="166">
        <v>467</v>
      </c>
      <c r="HT113" s="166">
        <f>FY26_FE_Data_April15[[#This Row],[Oct 1, 2026 (CDC) - K]]+FY26_FE_Data_April15[[#This Row],[Oct 1, 2026 (CDC) - Grades 1-6]]+FY26_FE_Data_April15[[#This Row],[Oct 1, 2026 (CDC) - Grades 7-8]]</f>
        <v>445</v>
      </c>
      <c r="HU113" s="166">
        <v>0</v>
      </c>
      <c r="HW113" s="170"/>
      <c r="HY113" s="170"/>
    </row>
    <row r="114" spans="1:233" ht="52">
      <c r="A114" s="158" t="s">
        <v>554</v>
      </c>
      <c r="B114" s="159" t="s">
        <v>555</v>
      </c>
      <c r="C114" s="160" t="s">
        <v>556</v>
      </c>
      <c r="D114" s="160" t="s">
        <v>139</v>
      </c>
      <c r="E114" s="159" t="s">
        <v>784</v>
      </c>
      <c r="F114" s="159" t="s">
        <v>784</v>
      </c>
      <c r="G114" s="159"/>
      <c r="H114" s="161">
        <v>96.833333333333329</v>
      </c>
      <c r="I114" s="161">
        <v>4.1833333333333336</v>
      </c>
      <c r="J114" s="161">
        <v>101.01666666666667</v>
      </c>
      <c r="K114" s="162">
        <v>74</v>
      </c>
      <c r="L114" s="162">
        <v>406</v>
      </c>
      <c r="M114" s="162">
        <v>155</v>
      </c>
      <c r="N114" s="162">
        <v>0</v>
      </c>
      <c r="O114" s="162">
        <v>635</v>
      </c>
      <c r="P114" s="162">
        <v>561</v>
      </c>
      <c r="Q114" s="162">
        <v>635</v>
      </c>
      <c r="R114" s="162">
        <v>7</v>
      </c>
      <c r="S114" s="160">
        <v>73.55</v>
      </c>
      <c r="T114" s="160">
        <v>74.355555555555554</v>
      </c>
      <c r="U114" s="160">
        <v>75.900000000000006</v>
      </c>
      <c r="V114" s="160">
        <v>62.588888888888889</v>
      </c>
      <c r="W114" s="160">
        <v>62.06666666666667</v>
      </c>
      <c r="X114" s="160">
        <v>60.727777777777774</v>
      </c>
      <c r="Y114" s="160">
        <v>62.12777777777778</v>
      </c>
      <c r="Z114" s="160">
        <v>72.333333333333329</v>
      </c>
      <c r="AA114" s="160">
        <v>80.288888888888891</v>
      </c>
      <c r="AB114" s="160">
        <v>0</v>
      </c>
      <c r="AC114" s="160">
        <v>0</v>
      </c>
      <c r="AD114" s="160">
        <v>0</v>
      </c>
      <c r="AE114" s="160">
        <v>0</v>
      </c>
      <c r="AF114" s="160">
        <v>397.76666666666665</v>
      </c>
      <c r="AG114" s="160">
        <v>152.62222222222221</v>
      </c>
      <c r="AH114" s="160">
        <v>0</v>
      </c>
      <c r="AI114" s="160">
        <v>623.93888888888887</v>
      </c>
      <c r="AJ114" s="160">
        <v>550.38888888888891</v>
      </c>
      <c r="AK114" s="160">
        <v>623.93888888888887</v>
      </c>
      <c r="AL114" s="161">
        <v>96.25</v>
      </c>
      <c r="AM114" s="161">
        <v>5.0333333333333332</v>
      </c>
      <c r="AN114" s="161">
        <v>101.28333333333333</v>
      </c>
      <c r="AO114" s="161">
        <v>628.97222222222217</v>
      </c>
      <c r="AP114" s="162">
        <v>74</v>
      </c>
      <c r="AQ114" s="168">
        <v>78</v>
      </c>
      <c r="AR114" s="160">
        <v>80</v>
      </c>
      <c r="AS114" s="160">
        <v>78</v>
      </c>
      <c r="AT114" s="160">
        <v>62</v>
      </c>
      <c r="AU114" s="160">
        <v>64</v>
      </c>
      <c r="AV114" s="160">
        <v>67</v>
      </c>
      <c r="AW114" s="160">
        <v>62</v>
      </c>
      <c r="AX114" s="160">
        <v>60</v>
      </c>
      <c r="AY114" s="160">
        <v>0</v>
      </c>
      <c r="AZ114" s="160">
        <v>0</v>
      </c>
      <c r="BA114" s="160">
        <v>0</v>
      </c>
      <c r="BB114" s="160">
        <v>0</v>
      </c>
      <c r="BC114" s="160">
        <v>429</v>
      </c>
      <c r="BD114" s="160">
        <v>122</v>
      </c>
      <c r="BE114" s="160">
        <v>0</v>
      </c>
      <c r="BF114" s="160">
        <v>625</v>
      </c>
      <c r="BG114" s="160">
        <v>551</v>
      </c>
      <c r="BH114" s="160">
        <v>625</v>
      </c>
      <c r="BI114" s="160">
        <v>0</v>
      </c>
      <c r="BJ114" s="160">
        <v>74</v>
      </c>
      <c r="BK114" s="160">
        <v>0</v>
      </c>
      <c r="BL114" s="160">
        <v>121</v>
      </c>
      <c r="BM114" s="160">
        <v>88</v>
      </c>
      <c r="BN114" s="162">
        <v>2</v>
      </c>
      <c r="BO114" s="162">
        <v>90</v>
      </c>
      <c r="BP114" s="162">
        <v>1</v>
      </c>
      <c r="BQ114" s="163">
        <v>5.8640939597315533E-2</v>
      </c>
      <c r="BR114" s="164">
        <v>36.375</v>
      </c>
      <c r="BS114" s="164">
        <v>36.375</v>
      </c>
      <c r="BT114" s="164">
        <v>33.274999999999999</v>
      </c>
      <c r="BU114" s="164">
        <v>36.675000000000004</v>
      </c>
      <c r="BV114" s="165">
        <v>0</v>
      </c>
      <c r="BW114" s="165">
        <v>0</v>
      </c>
      <c r="BX114" s="166">
        <v>0</v>
      </c>
      <c r="BY114" s="166">
        <v>72.105554999999995</v>
      </c>
      <c r="BZ114" s="166">
        <v>0</v>
      </c>
      <c r="CA114" s="166">
        <v>72.105555555555554</v>
      </c>
      <c r="CB114" s="166">
        <v>76.438888888888883</v>
      </c>
      <c r="CC114" s="166">
        <v>78.933333333333337</v>
      </c>
      <c r="CD114" s="166">
        <v>76.027777777777771</v>
      </c>
      <c r="CE114" s="166">
        <v>61.12777777777778</v>
      </c>
      <c r="CF114" s="166">
        <v>61.961111111111109</v>
      </c>
      <c r="CG114" s="166">
        <v>66.727777777777774</v>
      </c>
      <c r="CH114" s="166">
        <v>61.37777777777778</v>
      </c>
      <c r="CI114" s="166">
        <v>59.866666666666667</v>
      </c>
      <c r="CJ114" s="166">
        <v>0</v>
      </c>
      <c r="CK114" s="166">
        <v>0</v>
      </c>
      <c r="CL114" s="166">
        <v>0</v>
      </c>
      <c r="CM114" s="166">
        <v>0</v>
      </c>
      <c r="CN114" s="166">
        <v>421.21666666666664</v>
      </c>
      <c r="CO114" s="166">
        <v>121.24444444444444</v>
      </c>
      <c r="CP114" s="166">
        <v>0</v>
      </c>
      <c r="CQ114" s="166">
        <v>614.56666666666661</v>
      </c>
      <c r="CR114" s="166">
        <v>542.46111111111111</v>
      </c>
      <c r="CS114" s="166">
        <v>614.56666666666661</v>
      </c>
      <c r="CT114" s="166">
        <v>88.577777777777797</v>
      </c>
      <c r="CU114" s="166">
        <v>2.0555555555555598</v>
      </c>
      <c r="CV114" s="166">
        <v>90.633333333333354</v>
      </c>
      <c r="CW114" s="166">
        <v>616.62222222222215</v>
      </c>
      <c r="CX114" s="166">
        <v>0</v>
      </c>
      <c r="CY114" s="166">
        <v>75</v>
      </c>
      <c r="CZ114" s="165">
        <v>0</v>
      </c>
      <c r="DA114" s="165">
        <v>75</v>
      </c>
      <c r="DB114" s="165">
        <v>77</v>
      </c>
      <c r="DC114" s="165">
        <v>77</v>
      </c>
      <c r="DD114" s="165">
        <v>80</v>
      </c>
      <c r="DE114" s="165">
        <v>78</v>
      </c>
      <c r="DF114" s="165">
        <v>61</v>
      </c>
      <c r="DG114" s="165">
        <v>63</v>
      </c>
      <c r="DH114" s="165">
        <v>64</v>
      </c>
      <c r="DI114" s="165">
        <v>53</v>
      </c>
      <c r="DJ114" s="165">
        <v>0</v>
      </c>
      <c r="DK114" s="165">
        <v>0</v>
      </c>
      <c r="DL114" s="165">
        <v>0</v>
      </c>
      <c r="DM114" s="165">
        <v>0</v>
      </c>
      <c r="DN114" s="165">
        <v>436</v>
      </c>
      <c r="DO114" s="165">
        <v>117</v>
      </c>
      <c r="DP114" s="165">
        <v>0</v>
      </c>
      <c r="DQ114" s="165">
        <v>628</v>
      </c>
      <c r="DR114" s="165">
        <v>553</v>
      </c>
      <c r="DS114" s="165">
        <v>628</v>
      </c>
      <c r="DT114" s="165">
        <v>0</v>
      </c>
      <c r="DU114" s="165">
        <v>116</v>
      </c>
      <c r="DV114" s="165">
        <v>88</v>
      </c>
      <c r="DW114" s="165">
        <v>0</v>
      </c>
      <c r="DX114" s="165">
        <v>88</v>
      </c>
      <c r="DY114" s="165">
        <v>628</v>
      </c>
      <c r="DZ114" s="165">
        <v>1</v>
      </c>
      <c r="EA114" s="166">
        <v>36.700000000000003</v>
      </c>
      <c r="EB114" s="166">
        <v>36.200000000000003</v>
      </c>
      <c r="EC114" s="166">
        <v>25.35</v>
      </c>
      <c r="ED114" s="166">
        <v>7</v>
      </c>
      <c r="EE114" s="166">
        <v>0</v>
      </c>
      <c r="EF114" s="166">
        <v>38.075000000000003</v>
      </c>
      <c r="EG114" s="167">
        <v>6.0684647302904571E-2</v>
      </c>
      <c r="EH114" s="165"/>
      <c r="EI114" s="165">
        <v>74</v>
      </c>
      <c r="EJ114" s="165">
        <v>553</v>
      </c>
      <c r="EK114" s="165">
        <v>433</v>
      </c>
      <c r="EL114" s="165">
        <v>120</v>
      </c>
      <c r="EM114" s="165">
        <v>0</v>
      </c>
      <c r="EN114" s="165">
        <v>627</v>
      </c>
      <c r="EO114" s="165">
        <v>0</v>
      </c>
      <c r="EP114" s="165">
        <v>92</v>
      </c>
      <c r="EQ114" s="165">
        <v>92</v>
      </c>
      <c r="ER114" s="165">
        <v>92</v>
      </c>
      <c r="ES114" s="165">
        <v>0</v>
      </c>
      <c r="ET114" s="165">
        <v>9</v>
      </c>
      <c r="EU114" s="166">
        <v>20</v>
      </c>
      <c r="EV114" s="166">
        <v>0.72</v>
      </c>
      <c r="EW114" s="166">
        <v>1.1000000000000001</v>
      </c>
      <c r="EX114" s="166">
        <v>1.38</v>
      </c>
      <c r="EY114" s="166">
        <v>11.68</v>
      </c>
      <c r="EZ114" s="166">
        <v>34.879999999999995</v>
      </c>
      <c r="FA114" s="166">
        <v>19</v>
      </c>
      <c r="FB114" s="166">
        <v>54.93333333333333</v>
      </c>
      <c r="FC114" s="166">
        <v>73.933333333333337</v>
      </c>
      <c r="FD114" s="166">
        <v>75.194444444444443</v>
      </c>
      <c r="FE114" s="166">
        <v>76.8</v>
      </c>
      <c r="FF114" s="166">
        <v>79.75</v>
      </c>
      <c r="FG114" s="166">
        <v>76.12222222222222</v>
      </c>
      <c r="FH114" s="166">
        <v>60.87777777777778</v>
      </c>
      <c r="FI114" s="166">
        <v>62.366666666666667</v>
      </c>
      <c r="FJ114" s="166">
        <v>63.522222222222226</v>
      </c>
      <c r="FK114" s="166">
        <v>54.894444444444446</v>
      </c>
      <c r="FL114" s="166">
        <v>0</v>
      </c>
      <c r="FM114" s="166">
        <v>0</v>
      </c>
      <c r="FN114" s="166">
        <v>0</v>
      </c>
      <c r="FO114" s="166">
        <v>0</v>
      </c>
      <c r="FP114" s="166">
        <v>431.11111111111114</v>
      </c>
      <c r="FQ114" s="166">
        <v>118.41666666666667</v>
      </c>
      <c r="FR114" s="166">
        <v>0</v>
      </c>
      <c r="FS114" s="166">
        <v>623.46111111111122</v>
      </c>
      <c r="FT114" s="166">
        <v>549.52777777777783</v>
      </c>
      <c r="FU114" s="166">
        <v>623.46111111111122</v>
      </c>
      <c r="FV114" s="166">
        <v>95.861111111111114</v>
      </c>
      <c r="FW114" s="166">
        <v>0.12222222222222222</v>
      </c>
      <c r="FX114" s="166">
        <v>95.983333333333334</v>
      </c>
      <c r="FY114" s="166">
        <v>623.58333333333348</v>
      </c>
      <c r="FZ114" s="165">
        <v>19</v>
      </c>
      <c r="GA114" s="165">
        <v>53</v>
      </c>
      <c r="GB114" s="165">
        <v>72</v>
      </c>
      <c r="GC114" s="165">
        <v>82</v>
      </c>
      <c r="GD114" s="165">
        <v>78</v>
      </c>
      <c r="GE114" s="165">
        <v>80</v>
      </c>
      <c r="GF114" s="165">
        <v>80</v>
      </c>
      <c r="GG114" s="165">
        <v>80</v>
      </c>
      <c r="GH114" s="165">
        <v>57</v>
      </c>
      <c r="GI114" s="165">
        <v>57</v>
      </c>
      <c r="GJ114" s="165">
        <v>57</v>
      </c>
      <c r="GK114" s="165">
        <v>0</v>
      </c>
      <c r="GL114" s="165">
        <v>0</v>
      </c>
      <c r="GM114" s="165">
        <v>0</v>
      </c>
      <c r="GN114" s="165">
        <v>0</v>
      </c>
      <c r="GO114" s="165">
        <v>457</v>
      </c>
      <c r="GP114" s="165">
        <v>114</v>
      </c>
      <c r="GQ114" s="165">
        <v>0</v>
      </c>
      <c r="GR114" s="165">
        <v>643</v>
      </c>
      <c r="GS114" s="165">
        <v>571</v>
      </c>
      <c r="GT114" s="165">
        <v>643</v>
      </c>
      <c r="GU114" s="165">
        <v>0</v>
      </c>
      <c r="GV114" s="165">
        <v>112</v>
      </c>
      <c r="GW114" s="165">
        <v>112</v>
      </c>
      <c r="GX114" s="165">
        <v>0</v>
      </c>
      <c r="GY114" s="165">
        <v>112</v>
      </c>
      <c r="GZ114" s="165">
        <v>643</v>
      </c>
      <c r="HA114" s="165">
        <v>3</v>
      </c>
      <c r="HB114" s="166">
        <v>37.1</v>
      </c>
      <c r="HC114" s="166">
        <v>36.1</v>
      </c>
      <c r="HD114" s="166">
        <v>26.25</v>
      </c>
      <c r="HE114" s="166">
        <v>6</v>
      </c>
      <c r="HF114" s="166"/>
      <c r="HG114" s="166">
        <v>38.200000000000003</v>
      </c>
      <c r="HH114" s="166">
        <v>0</v>
      </c>
      <c r="HI114" s="166">
        <v>112</v>
      </c>
      <c r="HJ114" s="166">
        <v>112</v>
      </c>
      <c r="HK114" s="166">
        <v>112</v>
      </c>
      <c r="HL114" s="166">
        <v>0</v>
      </c>
      <c r="HM114" s="166">
        <v>12</v>
      </c>
      <c r="HN114" s="166">
        <v>78</v>
      </c>
      <c r="HO114" s="166">
        <v>565</v>
      </c>
      <c r="HP114" s="166">
        <v>440</v>
      </c>
      <c r="HQ114" s="166">
        <v>125</v>
      </c>
      <c r="HR114" s="166">
        <v>0</v>
      </c>
      <c r="HS114" s="166">
        <v>643</v>
      </c>
      <c r="HT114" s="166">
        <f>FY26_FE_Data_April15[[#This Row],[Oct 1, 2026 (CDC) - K]]+FY26_FE_Data_April15[[#This Row],[Oct 1, 2026 (CDC) - Grades 1-6]]+FY26_FE_Data_April15[[#This Row],[Oct 1, 2026 (CDC) - Grades 7-8]]</f>
        <v>643</v>
      </c>
      <c r="HU114" s="166">
        <v>0</v>
      </c>
      <c r="HW114" s="170"/>
      <c r="HY114" s="170"/>
    </row>
    <row r="115" spans="1:233" ht="39">
      <c r="A115" s="158" t="s">
        <v>557</v>
      </c>
      <c r="B115" s="159" t="s">
        <v>558</v>
      </c>
      <c r="C115" s="160" t="s">
        <v>559</v>
      </c>
      <c r="D115" s="160" t="s">
        <v>139</v>
      </c>
      <c r="E115" s="159" t="s">
        <v>784</v>
      </c>
      <c r="F115" s="159" t="s">
        <v>784</v>
      </c>
      <c r="G115" s="159"/>
      <c r="H115" s="161">
        <v>77.099999999999994</v>
      </c>
      <c r="I115" s="161">
        <v>5.0999999999999996</v>
      </c>
      <c r="J115" s="161">
        <v>82.199999999999989</v>
      </c>
      <c r="K115" s="162">
        <v>86</v>
      </c>
      <c r="L115" s="162">
        <v>381</v>
      </c>
      <c r="M115" s="162">
        <v>57</v>
      </c>
      <c r="N115" s="162">
        <v>0</v>
      </c>
      <c r="O115" s="162">
        <v>524</v>
      </c>
      <c r="P115" s="162">
        <v>438</v>
      </c>
      <c r="Q115" s="162">
        <v>524</v>
      </c>
      <c r="R115" s="162">
        <v>4</v>
      </c>
      <c r="S115" s="160">
        <v>80.844444444444449</v>
      </c>
      <c r="T115" s="160">
        <v>75.477777777777774</v>
      </c>
      <c r="U115" s="160">
        <v>72.461111111111109</v>
      </c>
      <c r="V115" s="160">
        <v>54.783333333333331</v>
      </c>
      <c r="W115" s="160">
        <v>59.916666666666664</v>
      </c>
      <c r="X115" s="160">
        <v>42.87777777777778</v>
      </c>
      <c r="Y115" s="160">
        <v>52.233333333333334</v>
      </c>
      <c r="Z115" s="160">
        <v>29.81111111111111</v>
      </c>
      <c r="AA115" s="160">
        <v>25.283333333333335</v>
      </c>
      <c r="AB115" s="160">
        <v>0</v>
      </c>
      <c r="AC115" s="160">
        <v>0</v>
      </c>
      <c r="AD115" s="160">
        <v>0</v>
      </c>
      <c r="AE115" s="160">
        <v>0</v>
      </c>
      <c r="AF115" s="160">
        <v>357.75</v>
      </c>
      <c r="AG115" s="160">
        <v>55.094444444444449</v>
      </c>
      <c r="AH115" s="160">
        <v>0</v>
      </c>
      <c r="AI115" s="160">
        <v>493.68888888888898</v>
      </c>
      <c r="AJ115" s="160">
        <v>412.84444444444449</v>
      </c>
      <c r="AK115" s="160">
        <v>493.68888888888898</v>
      </c>
      <c r="AL115" s="161">
        <v>70.538888888888891</v>
      </c>
      <c r="AM115" s="161">
        <v>3.2388888888888889</v>
      </c>
      <c r="AN115" s="161">
        <v>73.777777777777786</v>
      </c>
      <c r="AO115" s="161">
        <v>496.92777777777786</v>
      </c>
      <c r="AP115" s="162">
        <v>79</v>
      </c>
      <c r="AQ115" s="168">
        <v>78</v>
      </c>
      <c r="AR115" s="160">
        <v>67</v>
      </c>
      <c r="AS115" s="160">
        <v>60</v>
      </c>
      <c r="AT115" s="160">
        <v>45</v>
      </c>
      <c r="AU115" s="160">
        <v>54</v>
      </c>
      <c r="AV115" s="160">
        <v>37</v>
      </c>
      <c r="AW115" s="160">
        <v>26</v>
      </c>
      <c r="AX115" s="160">
        <v>14</v>
      </c>
      <c r="AY115" s="160">
        <v>0</v>
      </c>
      <c r="AZ115" s="160">
        <v>0</v>
      </c>
      <c r="BA115" s="160">
        <v>0</v>
      </c>
      <c r="BB115" s="160">
        <v>0</v>
      </c>
      <c r="BC115" s="160">
        <v>341</v>
      </c>
      <c r="BD115" s="160">
        <v>40</v>
      </c>
      <c r="BE115" s="160">
        <v>0</v>
      </c>
      <c r="BF115" s="160">
        <v>460</v>
      </c>
      <c r="BG115" s="160">
        <v>381</v>
      </c>
      <c r="BH115" s="160">
        <v>460</v>
      </c>
      <c r="BI115" s="160">
        <v>70</v>
      </c>
      <c r="BJ115" s="160">
        <v>9</v>
      </c>
      <c r="BK115" s="160">
        <v>0</v>
      </c>
      <c r="BL115" s="160">
        <v>6</v>
      </c>
      <c r="BM115" s="160">
        <v>64</v>
      </c>
      <c r="BN115" s="162">
        <v>2</v>
      </c>
      <c r="BO115" s="162">
        <v>66</v>
      </c>
      <c r="BP115" s="162">
        <v>8</v>
      </c>
      <c r="BQ115" s="163">
        <v>6.1740692357935945E-2</v>
      </c>
      <c r="BR115" s="164">
        <v>26</v>
      </c>
      <c r="BS115" s="164">
        <v>24</v>
      </c>
      <c r="BT115" s="164">
        <v>24</v>
      </c>
      <c r="BU115" s="164">
        <v>27</v>
      </c>
      <c r="BV115" s="165">
        <v>0</v>
      </c>
      <c r="BW115" s="165">
        <v>0</v>
      </c>
      <c r="BX115" s="166">
        <v>0</v>
      </c>
      <c r="BY115" s="166">
        <v>7.6</v>
      </c>
      <c r="BZ115" s="166">
        <v>69.166666000000006</v>
      </c>
      <c r="CA115" s="166">
        <v>76.766666666666666</v>
      </c>
      <c r="CB115" s="166">
        <v>76.061111111111117</v>
      </c>
      <c r="CC115" s="166">
        <v>65.338888888888889</v>
      </c>
      <c r="CD115" s="166">
        <v>59.81666666666667</v>
      </c>
      <c r="CE115" s="166">
        <v>43.25</v>
      </c>
      <c r="CF115" s="166">
        <v>52.31666666666667</v>
      </c>
      <c r="CG115" s="166">
        <v>34.516666666666666</v>
      </c>
      <c r="CH115" s="166">
        <v>25.166666666666668</v>
      </c>
      <c r="CI115" s="166">
        <v>13.05</v>
      </c>
      <c r="CJ115" s="166">
        <v>0</v>
      </c>
      <c r="CK115" s="166">
        <v>0</v>
      </c>
      <c r="CL115" s="166">
        <v>0</v>
      </c>
      <c r="CM115" s="166">
        <v>0</v>
      </c>
      <c r="CN115" s="166">
        <v>331.3</v>
      </c>
      <c r="CO115" s="166">
        <v>38.216666666666669</v>
      </c>
      <c r="CP115" s="166">
        <v>0</v>
      </c>
      <c r="CQ115" s="166">
        <v>446.28333333333336</v>
      </c>
      <c r="CR115" s="166">
        <v>369.51666666666671</v>
      </c>
      <c r="CS115" s="166">
        <v>446.28333333333336</v>
      </c>
      <c r="CT115" s="166">
        <v>66.605555555555597</v>
      </c>
      <c r="CU115" s="166">
        <v>4.8222222222222202</v>
      </c>
      <c r="CV115" s="166">
        <v>71.42777777777782</v>
      </c>
      <c r="CW115" s="166">
        <v>451.10555555555555</v>
      </c>
      <c r="CX115" s="166">
        <v>0</v>
      </c>
      <c r="CY115" s="166">
        <v>79</v>
      </c>
      <c r="CZ115" s="165">
        <v>8</v>
      </c>
      <c r="DA115" s="165">
        <v>87</v>
      </c>
      <c r="DB115" s="165">
        <v>58</v>
      </c>
      <c r="DC115" s="165">
        <v>80</v>
      </c>
      <c r="DD115" s="165">
        <v>59</v>
      </c>
      <c r="DE115" s="165">
        <v>63</v>
      </c>
      <c r="DF115" s="165">
        <v>46</v>
      </c>
      <c r="DG115" s="165">
        <v>52</v>
      </c>
      <c r="DH115" s="165">
        <v>25</v>
      </c>
      <c r="DI115" s="165">
        <v>19</v>
      </c>
      <c r="DJ115" s="165">
        <v>0</v>
      </c>
      <c r="DK115" s="165">
        <v>0</v>
      </c>
      <c r="DL115" s="165">
        <v>0</v>
      </c>
      <c r="DM115" s="165">
        <v>0</v>
      </c>
      <c r="DN115" s="165">
        <v>358</v>
      </c>
      <c r="DO115" s="165">
        <v>44</v>
      </c>
      <c r="DP115" s="165">
        <v>0</v>
      </c>
      <c r="DQ115" s="165">
        <v>489</v>
      </c>
      <c r="DR115" s="165">
        <v>402</v>
      </c>
      <c r="DS115" s="165">
        <v>489</v>
      </c>
      <c r="DT115" s="165">
        <v>0</v>
      </c>
      <c r="DU115" s="165">
        <v>6</v>
      </c>
      <c r="DV115" s="165">
        <v>77</v>
      </c>
      <c r="DW115" s="165">
        <v>5</v>
      </c>
      <c r="DX115" s="165">
        <v>82</v>
      </c>
      <c r="DY115" s="165">
        <v>494</v>
      </c>
      <c r="DZ115" s="165">
        <v>11</v>
      </c>
      <c r="EA115" s="166">
        <v>28</v>
      </c>
      <c r="EB115" s="166">
        <v>26</v>
      </c>
      <c r="EC115" s="166">
        <v>19</v>
      </c>
      <c r="ED115" s="166">
        <v>3.5</v>
      </c>
      <c r="EE115" s="166">
        <v>0</v>
      </c>
      <c r="EF115" s="166">
        <v>30.332999999999998</v>
      </c>
      <c r="EG115" s="167">
        <v>5.0807212142985447E-2</v>
      </c>
      <c r="EH115" s="165"/>
      <c r="EI115" s="165">
        <v>81</v>
      </c>
      <c r="EJ115" s="165">
        <v>405</v>
      </c>
      <c r="EK115" s="165">
        <v>349</v>
      </c>
      <c r="EL115" s="165">
        <v>56</v>
      </c>
      <c r="EM115" s="165">
        <v>0</v>
      </c>
      <c r="EN115" s="165">
        <v>486</v>
      </c>
      <c r="EO115" s="165">
        <v>0</v>
      </c>
      <c r="EP115" s="165">
        <v>82</v>
      </c>
      <c r="EQ115" s="165">
        <v>82</v>
      </c>
      <c r="ER115" s="165">
        <v>77</v>
      </c>
      <c r="ES115" s="165">
        <v>5</v>
      </c>
      <c r="ET115" s="165">
        <v>63</v>
      </c>
      <c r="EU115" s="166">
        <v>20.14</v>
      </c>
      <c r="EV115" s="166">
        <v>1.06</v>
      </c>
      <c r="EW115" s="166">
        <v>0</v>
      </c>
      <c r="EX115" s="166">
        <v>0</v>
      </c>
      <c r="EY115" s="166">
        <v>1</v>
      </c>
      <c r="EZ115" s="166">
        <v>22.2</v>
      </c>
      <c r="FA115" s="166">
        <v>3</v>
      </c>
      <c r="FB115" s="166">
        <v>82.333333333333329</v>
      </c>
      <c r="FC115" s="166">
        <v>85.333333333333329</v>
      </c>
      <c r="FD115" s="166">
        <v>56.955555555555556</v>
      </c>
      <c r="FE115" s="166">
        <v>78.888888888888886</v>
      </c>
      <c r="FF115" s="166">
        <v>53.416666666666664</v>
      </c>
      <c r="FG115" s="166">
        <v>62.222222222222221</v>
      </c>
      <c r="FH115" s="166">
        <v>43.3</v>
      </c>
      <c r="FI115" s="166">
        <v>48.494444444444447</v>
      </c>
      <c r="FJ115" s="166">
        <v>23.31111111111111</v>
      </c>
      <c r="FK115" s="166">
        <v>19</v>
      </c>
      <c r="FL115" s="166">
        <v>0</v>
      </c>
      <c r="FM115" s="166">
        <v>0</v>
      </c>
      <c r="FN115" s="166">
        <v>0</v>
      </c>
      <c r="FO115" s="166">
        <v>0</v>
      </c>
      <c r="FP115" s="166">
        <v>343.27777777777777</v>
      </c>
      <c r="FQ115" s="166">
        <v>42.31111111111111</v>
      </c>
      <c r="FR115" s="166">
        <v>0</v>
      </c>
      <c r="FS115" s="166">
        <v>470.92222222222227</v>
      </c>
      <c r="FT115" s="166">
        <v>385.5888888888889</v>
      </c>
      <c r="FU115" s="166">
        <v>470.92222222222227</v>
      </c>
      <c r="FV115" s="166">
        <v>74.400000000000006</v>
      </c>
      <c r="FW115" s="166">
        <v>2.6</v>
      </c>
      <c r="FX115" s="166">
        <v>77</v>
      </c>
      <c r="FY115" s="166">
        <v>473.5222222222223</v>
      </c>
      <c r="FZ115" s="165">
        <v>11</v>
      </c>
      <c r="GA115" s="165">
        <v>81</v>
      </c>
      <c r="GB115" s="165">
        <v>92</v>
      </c>
      <c r="GC115" s="165">
        <v>70</v>
      </c>
      <c r="GD115" s="165">
        <v>55</v>
      </c>
      <c r="GE115" s="165">
        <v>69</v>
      </c>
      <c r="GF115" s="165">
        <v>45</v>
      </c>
      <c r="GG115" s="165">
        <v>46</v>
      </c>
      <c r="GH115" s="165">
        <v>39</v>
      </c>
      <c r="GI115" s="165">
        <v>15</v>
      </c>
      <c r="GJ115" s="165">
        <v>19</v>
      </c>
      <c r="GK115" s="165">
        <v>0</v>
      </c>
      <c r="GL115" s="165">
        <v>0</v>
      </c>
      <c r="GM115" s="165">
        <v>0</v>
      </c>
      <c r="GN115" s="165">
        <v>0</v>
      </c>
      <c r="GO115" s="165">
        <v>324</v>
      </c>
      <c r="GP115" s="165">
        <v>34</v>
      </c>
      <c r="GQ115" s="165">
        <v>0</v>
      </c>
      <c r="GR115" s="165">
        <v>450</v>
      </c>
      <c r="GS115" s="165">
        <v>358</v>
      </c>
      <c r="GT115" s="165">
        <v>450</v>
      </c>
      <c r="GU115" s="165">
        <v>0</v>
      </c>
      <c r="GV115" s="165">
        <v>2</v>
      </c>
      <c r="GW115" s="165">
        <v>69</v>
      </c>
      <c r="GX115" s="165">
        <v>3</v>
      </c>
      <c r="GY115" s="165">
        <v>72</v>
      </c>
      <c r="GZ115" s="165">
        <v>453</v>
      </c>
      <c r="HA115" s="165">
        <v>11</v>
      </c>
      <c r="HB115" s="166">
        <v>29</v>
      </c>
      <c r="HC115" s="166">
        <v>27</v>
      </c>
      <c r="HD115" s="166">
        <v>20.8</v>
      </c>
      <c r="HE115" s="166">
        <v>3.2</v>
      </c>
      <c r="HF115" s="166"/>
      <c r="HG115" s="166">
        <v>30</v>
      </c>
      <c r="HH115" s="166">
        <v>0</v>
      </c>
      <c r="HI115" s="166">
        <v>76</v>
      </c>
      <c r="HJ115" s="166">
        <v>76</v>
      </c>
      <c r="HK115" s="166">
        <v>72</v>
      </c>
      <c r="HL115" s="166">
        <v>4</v>
      </c>
      <c r="HM115" s="166">
        <v>54</v>
      </c>
      <c r="HN115" s="166">
        <v>95</v>
      </c>
      <c r="HO115" s="166">
        <v>375</v>
      </c>
      <c r="HP115" s="166">
        <v>340</v>
      </c>
      <c r="HQ115" s="166">
        <v>35</v>
      </c>
      <c r="HR115" s="166">
        <v>0</v>
      </c>
      <c r="HS115" s="166">
        <v>470</v>
      </c>
      <c r="HT115" s="166">
        <f>FY26_FE_Data_April15[[#This Row],[Oct 1, 2026 (CDC) - K]]+FY26_FE_Data_April15[[#This Row],[Oct 1, 2026 (CDC) - Grades 1-6]]+FY26_FE_Data_April15[[#This Row],[Oct 1, 2026 (CDC) - Grades 7-8]]</f>
        <v>470</v>
      </c>
      <c r="HU115" s="166">
        <v>0</v>
      </c>
      <c r="HW115" s="170"/>
      <c r="HY115" s="170"/>
    </row>
    <row r="116" spans="1:233" ht="26">
      <c r="A116" s="158" t="s">
        <v>560</v>
      </c>
      <c r="B116" s="159" t="s">
        <v>561</v>
      </c>
      <c r="C116" s="160" t="s">
        <v>562</v>
      </c>
      <c r="D116" s="160" t="s">
        <v>139</v>
      </c>
      <c r="E116" s="159" t="s">
        <v>784</v>
      </c>
      <c r="F116" s="159" t="s">
        <v>784</v>
      </c>
      <c r="G116" s="159"/>
      <c r="H116" s="161">
        <v>47.37777777777778</v>
      </c>
      <c r="I116" s="161">
        <v>1.9666666666666666</v>
      </c>
      <c r="J116" s="161">
        <v>49.344444444444449</v>
      </c>
      <c r="K116" s="162">
        <v>72</v>
      </c>
      <c r="L116" s="162">
        <v>465</v>
      </c>
      <c r="M116" s="162">
        <v>0</v>
      </c>
      <c r="N116" s="162">
        <v>0</v>
      </c>
      <c r="O116" s="162">
        <v>537</v>
      </c>
      <c r="P116" s="162">
        <v>465</v>
      </c>
      <c r="Q116" s="162">
        <v>537</v>
      </c>
      <c r="R116" s="162">
        <v>4</v>
      </c>
      <c r="S116" s="160">
        <v>72.172222222222217</v>
      </c>
      <c r="T116" s="160">
        <v>82.00555555555556</v>
      </c>
      <c r="U116" s="160">
        <v>77.944444444444443</v>
      </c>
      <c r="V116" s="160">
        <v>83.055555555555557</v>
      </c>
      <c r="W116" s="160">
        <v>74.327777777777783</v>
      </c>
      <c r="X116" s="160">
        <v>72.272222222222226</v>
      </c>
      <c r="Y116" s="160">
        <v>64.905555555555551</v>
      </c>
      <c r="Z116" s="160">
        <v>0</v>
      </c>
      <c r="AA116" s="160">
        <v>0</v>
      </c>
      <c r="AB116" s="160">
        <v>0</v>
      </c>
      <c r="AC116" s="160">
        <v>0</v>
      </c>
      <c r="AD116" s="160">
        <v>0</v>
      </c>
      <c r="AE116" s="160">
        <v>0</v>
      </c>
      <c r="AF116" s="160">
        <v>454.51111111111112</v>
      </c>
      <c r="AG116" s="160">
        <v>0</v>
      </c>
      <c r="AH116" s="160">
        <v>0</v>
      </c>
      <c r="AI116" s="160">
        <v>526.68333333333328</v>
      </c>
      <c r="AJ116" s="160">
        <v>454.51111111111112</v>
      </c>
      <c r="AK116" s="160">
        <v>526.68333333333328</v>
      </c>
      <c r="AL116" s="161">
        <v>56.833333333333336</v>
      </c>
      <c r="AM116" s="161">
        <v>4.1333333333333337</v>
      </c>
      <c r="AN116" s="161">
        <v>60.966666666666669</v>
      </c>
      <c r="AO116" s="161">
        <v>530.81666666666661</v>
      </c>
      <c r="AP116" s="162">
        <v>75</v>
      </c>
      <c r="AQ116" s="168">
        <v>77</v>
      </c>
      <c r="AR116" s="160">
        <v>76</v>
      </c>
      <c r="AS116" s="160">
        <v>77</v>
      </c>
      <c r="AT116" s="160">
        <v>80</v>
      </c>
      <c r="AU116" s="160">
        <v>74</v>
      </c>
      <c r="AV116" s="160">
        <v>75</v>
      </c>
      <c r="AW116" s="160">
        <v>0</v>
      </c>
      <c r="AX116" s="160">
        <v>0</v>
      </c>
      <c r="AY116" s="160">
        <v>0</v>
      </c>
      <c r="AZ116" s="160">
        <v>0</v>
      </c>
      <c r="BA116" s="160">
        <v>0</v>
      </c>
      <c r="BB116" s="160">
        <v>0</v>
      </c>
      <c r="BC116" s="160">
        <v>459</v>
      </c>
      <c r="BD116" s="160">
        <v>0</v>
      </c>
      <c r="BE116" s="160">
        <v>0</v>
      </c>
      <c r="BF116" s="160">
        <v>534</v>
      </c>
      <c r="BG116" s="160">
        <v>459</v>
      </c>
      <c r="BH116" s="160">
        <v>534</v>
      </c>
      <c r="BI116" s="160">
        <v>70</v>
      </c>
      <c r="BJ116" s="160">
        <v>5</v>
      </c>
      <c r="BK116" s="160">
        <v>0</v>
      </c>
      <c r="BL116" s="160">
        <v>224</v>
      </c>
      <c r="BM116" s="160">
        <v>61</v>
      </c>
      <c r="BN116" s="162">
        <v>6</v>
      </c>
      <c r="BO116" s="162">
        <v>67</v>
      </c>
      <c r="BP116" s="162">
        <v>74</v>
      </c>
      <c r="BQ116" s="163">
        <v>7.1787987271280884E-2</v>
      </c>
      <c r="BR116" s="164">
        <v>27.169999999999998</v>
      </c>
      <c r="BS116" s="164">
        <v>25.169999999999998</v>
      </c>
      <c r="BT116" s="164">
        <v>25.169999999999998</v>
      </c>
      <c r="BU116" s="164">
        <v>27.169999999999998</v>
      </c>
      <c r="BV116" s="165">
        <v>0</v>
      </c>
      <c r="BW116" s="165">
        <v>0</v>
      </c>
      <c r="BX116" s="166">
        <v>0</v>
      </c>
      <c r="BY116" s="166">
        <v>2.716666</v>
      </c>
      <c r="BZ116" s="166">
        <v>68.838887999999997</v>
      </c>
      <c r="CA116" s="166">
        <v>71.555555555555557</v>
      </c>
      <c r="CB116" s="166">
        <v>76.105555555555554</v>
      </c>
      <c r="CC116" s="166">
        <v>74.683333333333337</v>
      </c>
      <c r="CD116" s="166">
        <v>75.083333333333329</v>
      </c>
      <c r="CE116" s="166">
        <v>77.655555555555551</v>
      </c>
      <c r="CF116" s="166">
        <v>72.661111111111111</v>
      </c>
      <c r="CG116" s="166">
        <v>74.63333333333334</v>
      </c>
      <c r="CH116" s="166">
        <v>0</v>
      </c>
      <c r="CI116" s="166">
        <v>0</v>
      </c>
      <c r="CJ116" s="166">
        <v>0</v>
      </c>
      <c r="CK116" s="166">
        <v>0</v>
      </c>
      <c r="CL116" s="166">
        <v>0</v>
      </c>
      <c r="CM116" s="166">
        <v>0</v>
      </c>
      <c r="CN116" s="166">
        <v>450.82222222222219</v>
      </c>
      <c r="CO116" s="166">
        <v>0</v>
      </c>
      <c r="CP116" s="166">
        <v>0</v>
      </c>
      <c r="CQ116" s="166">
        <v>522.37777777777774</v>
      </c>
      <c r="CR116" s="166">
        <v>450.82222222222219</v>
      </c>
      <c r="CS116" s="166">
        <v>522.37777777777774</v>
      </c>
      <c r="CT116" s="166">
        <v>70.977777777777803</v>
      </c>
      <c r="CU116" s="166">
        <v>6.5333333333333297</v>
      </c>
      <c r="CV116" s="166">
        <v>77.511111111111134</v>
      </c>
      <c r="CW116" s="166">
        <v>528.91111111111104</v>
      </c>
      <c r="CX116" s="166">
        <v>0</v>
      </c>
      <c r="CY116" s="166">
        <v>66</v>
      </c>
      <c r="CZ116" s="165">
        <v>7</v>
      </c>
      <c r="DA116" s="165">
        <v>73</v>
      </c>
      <c r="DB116" s="165">
        <v>74</v>
      </c>
      <c r="DC116" s="165">
        <v>77</v>
      </c>
      <c r="DD116" s="165">
        <v>74</v>
      </c>
      <c r="DE116" s="165">
        <v>73</v>
      </c>
      <c r="DF116" s="165">
        <v>75</v>
      </c>
      <c r="DG116" s="165">
        <v>74</v>
      </c>
      <c r="DH116" s="165">
        <v>0</v>
      </c>
      <c r="DI116" s="165">
        <v>0</v>
      </c>
      <c r="DJ116" s="165">
        <v>0</v>
      </c>
      <c r="DK116" s="165">
        <v>0</v>
      </c>
      <c r="DL116" s="165">
        <v>0</v>
      </c>
      <c r="DM116" s="165">
        <v>0</v>
      </c>
      <c r="DN116" s="165">
        <v>447</v>
      </c>
      <c r="DO116" s="165">
        <v>0</v>
      </c>
      <c r="DP116" s="165">
        <v>0</v>
      </c>
      <c r="DQ116" s="165">
        <v>520</v>
      </c>
      <c r="DR116" s="165">
        <v>447</v>
      </c>
      <c r="DS116" s="165">
        <v>520</v>
      </c>
      <c r="DT116" s="165">
        <v>0</v>
      </c>
      <c r="DU116" s="165">
        <v>196</v>
      </c>
      <c r="DV116" s="165">
        <v>76</v>
      </c>
      <c r="DW116" s="165">
        <v>10</v>
      </c>
      <c r="DX116" s="165">
        <v>86</v>
      </c>
      <c r="DY116" s="165">
        <v>530</v>
      </c>
      <c r="DZ116" s="165">
        <v>66</v>
      </c>
      <c r="EA116" s="166">
        <v>28.293000000000003</v>
      </c>
      <c r="EB116" s="166">
        <v>26.293000000000003</v>
      </c>
      <c r="EC116" s="166">
        <v>23.643000000000001</v>
      </c>
      <c r="ED116" s="166">
        <v>0</v>
      </c>
      <c r="EE116" s="166">
        <v>0</v>
      </c>
      <c r="EF116" s="166">
        <v>29.933000000000003</v>
      </c>
      <c r="EG116" s="167">
        <v>7.6012349224583609E-2</v>
      </c>
      <c r="EH116" s="165"/>
      <c r="EI116" s="165">
        <v>74</v>
      </c>
      <c r="EJ116" s="165">
        <v>444</v>
      </c>
      <c r="EK116" s="165">
        <v>444</v>
      </c>
      <c r="EL116" s="165">
        <v>0</v>
      </c>
      <c r="EM116" s="165">
        <v>0</v>
      </c>
      <c r="EN116" s="165">
        <v>518</v>
      </c>
      <c r="EO116" s="165">
        <v>0</v>
      </c>
      <c r="EP116" s="165">
        <v>86</v>
      </c>
      <c r="EQ116" s="165">
        <v>86</v>
      </c>
      <c r="ER116" s="165">
        <v>76</v>
      </c>
      <c r="ES116" s="165">
        <v>10</v>
      </c>
      <c r="ET116" s="165">
        <v>49</v>
      </c>
      <c r="EU116" s="166">
        <v>28.001000000000001</v>
      </c>
      <c r="EV116" s="166">
        <v>0.7</v>
      </c>
      <c r="EW116" s="166">
        <v>2.625</v>
      </c>
      <c r="EX116" s="166">
        <v>0.5</v>
      </c>
      <c r="EY116" s="166">
        <v>5.2629999999999999</v>
      </c>
      <c r="EZ116" s="166">
        <v>37.088999999999999</v>
      </c>
      <c r="FA116" s="166">
        <v>0</v>
      </c>
      <c r="FB116" s="166">
        <v>71.944444444444443</v>
      </c>
      <c r="FC116" s="166">
        <v>71.944444444444443</v>
      </c>
      <c r="FD116" s="166">
        <v>70.088888888888889</v>
      </c>
      <c r="FE116" s="166">
        <v>75.75555555555556</v>
      </c>
      <c r="FF116" s="166">
        <v>72.444444444444443</v>
      </c>
      <c r="FG116" s="166">
        <v>73.444444444444443</v>
      </c>
      <c r="FH116" s="166">
        <v>74.900000000000006</v>
      </c>
      <c r="FI116" s="166">
        <v>72.077777777777783</v>
      </c>
      <c r="FJ116" s="166">
        <v>0</v>
      </c>
      <c r="FK116" s="166">
        <v>0</v>
      </c>
      <c r="FL116" s="166">
        <v>0</v>
      </c>
      <c r="FM116" s="166">
        <v>0</v>
      </c>
      <c r="FN116" s="166">
        <v>0</v>
      </c>
      <c r="FO116" s="166">
        <v>0</v>
      </c>
      <c r="FP116" s="166">
        <v>438.71111111111111</v>
      </c>
      <c r="FQ116" s="166">
        <v>0</v>
      </c>
      <c r="FR116" s="166">
        <v>0</v>
      </c>
      <c r="FS116" s="166">
        <v>510.65555555555557</v>
      </c>
      <c r="FT116" s="166">
        <v>438.71111111111111</v>
      </c>
      <c r="FU116" s="166">
        <v>510.65555555555557</v>
      </c>
      <c r="FV116" s="166">
        <v>78.511111111111106</v>
      </c>
      <c r="FW116" s="166">
        <v>9.7111111111111104</v>
      </c>
      <c r="FX116" s="166">
        <v>88.222222222222214</v>
      </c>
      <c r="FY116" s="166">
        <v>520.36666666666667</v>
      </c>
      <c r="FZ116" s="165">
        <v>1</v>
      </c>
      <c r="GA116" s="165">
        <v>74</v>
      </c>
      <c r="GB116" s="165">
        <v>75</v>
      </c>
      <c r="GC116" s="165">
        <v>77</v>
      </c>
      <c r="GD116" s="165">
        <v>75</v>
      </c>
      <c r="GE116" s="165">
        <v>75</v>
      </c>
      <c r="GF116" s="165">
        <v>77</v>
      </c>
      <c r="GG116" s="165">
        <v>75</v>
      </c>
      <c r="GH116" s="165">
        <v>75</v>
      </c>
      <c r="GI116" s="165">
        <v>0</v>
      </c>
      <c r="GJ116" s="165">
        <v>0</v>
      </c>
      <c r="GK116" s="165">
        <v>0</v>
      </c>
      <c r="GL116" s="165">
        <v>0</v>
      </c>
      <c r="GM116" s="165">
        <v>0</v>
      </c>
      <c r="GN116" s="165">
        <v>0</v>
      </c>
      <c r="GO116" s="165">
        <v>454</v>
      </c>
      <c r="GP116" s="165">
        <v>0</v>
      </c>
      <c r="GQ116" s="165">
        <v>0</v>
      </c>
      <c r="GR116" s="165">
        <v>529</v>
      </c>
      <c r="GS116" s="165">
        <v>454</v>
      </c>
      <c r="GT116" s="165">
        <v>529</v>
      </c>
      <c r="GU116" s="165">
        <v>0</v>
      </c>
      <c r="GV116" s="165">
        <v>209</v>
      </c>
      <c r="GW116" s="165">
        <v>76</v>
      </c>
      <c r="GX116" s="165">
        <v>8</v>
      </c>
      <c r="GY116" s="165">
        <v>84</v>
      </c>
      <c r="GZ116" s="165">
        <v>537</v>
      </c>
      <c r="HA116" s="165">
        <v>73</v>
      </c>
      <c r="HB116" s="166">
        <v>30.613</v>
      </c>
      <c r="HC116" s="166">
        <v>28.613</v>
      </c>
      <c r="HD116" s="166">
        <v>24.643000000000001</v>
      </c>
      <c r="HE116" s="166">
        <v>0</v>
      </c>
      <c r="HF116" s="166"/>
      <c r="HG116" s="166">
        <v>31.613</v>
      </c>
      <c r="HH116" s="166">
        <v>0</v>
      </c>
      <c r="HI116" s="166">
        <v>79</v>
      </c>
      <c r="HJ116" s="166">
        <v>79</v>
      </c>
      <c r="HK116" s="166">
        <v>71</v>
      </c>
      <c r="HL116" s="166">
        <v>8</v>
      </c>
      <c r="HM116" s="166">
        <v>48</v>
      </c>
      <c r="HN116" s="166">
        <v>75</v>
      </c>
      <c r="HO116" s="166">
        <v>454</v>
      </c>
      <c r="HP116" s="166">
        <v>454</v>
      </c>
      <c r="HQ116" s="166">
        <v>0</v>
      </c>
      <c r="HR116" s="166">
        <v>0</v>
      </c>
      <c r="HS116" s="166">
        <v>529</v>
      </c>
      <c r="HT116" s="166">
        <f>FY26_FE_Data_April15[[#This Row],[Oct 1, 2026 (CDC) - K]]+FY26_FE_Data_April15[[#This Row],[Oct 1, 2026 (CDC) - Grades 1-6]]+FY26_FE_Data_April15[[#This Row],[Oct 1, 2026 (CDC) - Grades 7-8]]</f>
        <v>529</v>
      </c>
      <c r="HU116" s="166">
        <v>0</v>
      </c>
      <c r="HW116" s="170"/>
      <c r="HY116" s="170"/>
    </row>
    <row r="117" spans="1:233" ht="26">
      <c r="A117" s="158" t="s">
        <v>563</v>
      </c>
      <c r="B117" s="159" t="s">
        <v>564</v>
      </c>
      <c r="C117" s="160" t="s">
        <v>565</v>
      </c>
      <c r="D117" s="160" t="s">
        <v>139</v>
      </c>
      <c r="E117" s="159" t="s">
        <v>784</v>
      </c>
      <c r="F117" s="159" t="s">
        <v>784</v>
      </c>
      <c r="G117" s="159"/>
      <c r="H117" s="161">
        <v>118.37777777777778</v>
      </c>
      <c r="I117" s="161">
        <v>4.4111111111111114</v>
      </c>
      <c r="J117" s="161">
        <v>122.78888888888889</v>
      </c>
      <c r="K117" s="162">
        <v>99</v>
      </c>
      <c r="L117" s="162">
        <v>604</v>
      </c>
      <c r="M117" s="162">
        <v>182</v>
      </c>
      <c r="N117" s="162">
        <v>87</v>
      </c>
      <c r="O117" s="162">
        <v>972</v>
      </c>
      <c r="P117" s="162">
        <v>873</v>
      </c>
      <c r="Q117" s="162">
        <v>885</v>
      </c>
      <c r="R117" s="162">
        <v>10</v>
      </c>
      <c r="S117" s="160">
        <v>95.183333333333337</v>
      </c>
      <c r="T117" s="160">
        <v>89.24444444444444</v>
      </c>
      <c r="U117" s="160">
        <v>104.02222222222223</v>
      </c>
      <c r="V117" s="160">
        <v>100.03333333333333</v>
      </c>
      <c r="W117" s="160">
        <v>95.25</v>
      </c>
      <c r="X117" s="160">
        <v>101.4</v>
      </c>
      <c r="Y117" s="160">
        <v>100.05555555555556</v>
      </c>
      <c r="Z117" s="160">
        <v>98.8</v>
      </c>
      <c r="AA117" s="160">
        <v>78.849999999999994</v>
      </c>
      <c r="AB117" s="160">
        <v>84.277777777777771</v>
      </c>
      <c r="AC117" s="160">
        <v>0</v>
      </c>
      <c r="AD117" s="160">
        <v>0</v>
      </c>
      <c r="AE117" s="160">
        <v>0</v>
      </c>
      <c r="AF117" s="160">
        <v>590.00555555555547</v>
      </c>
      <c r="AG117" s="160">
        <v>177.64999999999998</v>
      </c>
      <c r="AH117" s="160">
        <v>84.277777777777771</v>
      </c>
      <c r="AI117" s="160">
        <v>862.83888888888885</v>
      </c>
      <c r="AJ117" s="160">
        <v>851.93333333333317</v>
      </c>
      <c r="AK117" s="160">
        <v>947.11666666666656</v>
      </c>
      <c r="AL117" s="161">
        <v>128.47222222222223</v>
      </c>
      <c r="AM117" s="161">
        <v>9.1333333333333329</v>
      </c>
      <c r="AN117" s="161">
        <v>137.60555555555555</v>
      </c>
      <c r="AO117" s="161">
        <v>956.24999999999989</v>
      </c>
      <c r="AP117" s="162">
        <v>101</v>
      </c>
      <c r="AQ117" s="168">
        <v>101</v>
      </c>
      <c r="AR117" s="160">
        <v>99</v>
      </c>
      <c r="AS117" s="160">
        <v>102</v>
      </c>
      <c r="AT117" s="160">
        <v>105</v>
      </c>
      <c r="AU117" s="160">
        <v>107</v>
      </c>
      <c r="AV117" s="160">
        <v>108</v>
      </c>
      <c r="AW117" s="160">
        <v>106</v>
      </c>
      <c r="AX117" s="160">
        <v>94</v>
      </c>
      <c r="AY117" s="160">
        <v>78</v>
      </c>
      <c r="AZ117" s="160">
        <v>0</v>
      </c>
      <c r="BA117" s="160">
        <v>0</v>
      </c>
      <c r="BB117" s="160">
        <v>0</v>
      </c>
      <c r="BC117" s="160">
        <v>622</v>
      </c>
      <c r="BD117" s="160">
        <v>200</v>
      </c>
      <c r="BE117" s="160">
        <v>78</v>
      </c>
      <c r="BF117" s="160">
        <v>923</v>
      </c>
      <c r="BG117" s="160">
        <v>900</v>
      </c>
      <c r="BH117" s="160">
        <v>1001</v>
      </c>
      <c r="BI117" s="160">
        <v>87</v>
      </c>
      <c r="BJ117" s="160">
        <v>14</v>
      </c>
      <c r="BK117" s="160">
        <v>0</v>
      </c>
      <c r="BL117" s="160">
        <v>162</v>
      </c>
      <c r="BM117" s="160">
        <v>138</v>
      </c>
      <c r="BN117" s="162">
        <v>8</v>
      </c>
      <c r="BO117" s="162">
        <v>146</v>
      </c>
      <c r="BP117" s="162">
        <v>57</v>
      </c>
      <c r="BQ117" s="163">
        <v>6.4780550774526713E-2</v>
      </c>
      <c r="BR117" s="164">
        <v>58.505000000000003</v>
      </c>
      <c r="BS117" s="164">
        <v>55.505000000000003</v>
      </c>
      <c r="BT117" s="164">
        <v>51.88</v>
      </c>
      <c r="BU117" s="164">
        <v>54.88</v>
      </c>
      <c r="BV117" s="165">
        <v>0</v>
      </c>
      <c r="BW117" s="165">
        <v>0</v>
      </c>
      <c r="BX117" s="166">
        <v>0</v>
      </c>
      <c r="BY117" s="166">
        <v>13.05</v>
      </c>
      <c r="BZ117" s="166">
        <v>86.238888000000003</v>
      </c>
      <c r="CA117" s="166">
        <v>99.288888888888891</v>
      </c>
      <c r="CB117" s="166">
        <v>101.41666666666667</v>
      </c>
      <c r="CC117" s="166">
        <v>96.444444444444443</v>
      </c>
      <c r="CD117" s="166">
        <v>100.70555555555555</v>
      </c>
      <c r="CE117" s="166">
        <v>103.53333333333333</v>
      </c>
      <c r="CF117" s="166">
        <v>102.91666666666667</v>
      </c>
      <c r="CG117" s="166">
        <v>104.73888888888889</v>
      </c>
      <c r="CH117" s="166">
        <v>104.74444444444444</v>
      </c>
      <c r="CI117" s="166">
        <v>93.477777777777774</v>
      </c>
      <c r="CJ117" s="166">
        <v>77.111111111111114</v>
      </c>
      <c r="CK117" s="166">
        <v>0</v>
      </c>
      <c r="CL117" s="166">
        <v>0</v>
      </c>
      <c r="CM117" s="166">
        <v>0</v>
      </c>
      <c r="CN117" s="166">
        <v>609.75555555555559</v>
      </c>
      <c r="CO117" s="166">
        <v>198.22222222222223</v>
      </c>
      <c r="CP117" s="166">
        <v>77.111111111111114</v>
      </c>
      <c r="CQ117" s="166">
        <v>907.26666666666665</v>
      </c>
      <c r="CR117" s="166">
        <v>885.08888888888885</v>
      </c>
      <c r="CS117" s="166">
        <v>984.37777777777774</v>
      </c>
      <c r="CT117" s="166">
        <v>135.12222222222201</v>
      </c>
      <c r="CU117" s="166">
        <v>7.3333333333333304</v>
      </c>
      <c r="CV117" s="166">
        <v>142.45555555555535</v>
      </c>
      <c r="CW117" s="166">
        <v>991.71111111111111</v>
      </c>
      <c r="CX117" s="166">
        <v>0</v>
      </c>
      <c r="CY117" s="166">
        <v>95</v>
      </c>
      <c r="CZ117" s="165">
        <v>9</v>
      </c>
      <c r="DA117" s="165">
        <v>104</v>
      </c>
      <c r="DB117" s="165">
        <v>100</v>
      </c>
      <c r="DC117" s="165">
        <v>106</v>
      </c>
      <c r="DD117" s="165">
        <v>108</v>
      </c>
      <c r="DE117" s="165">
        <v>105</v>
      </c>
      <c r="DF117" s="165">
        <v>104</v>
      </c>
      <c r="DG117" s="165">
        <v>104</v>
      </c>
      <c r="DH117" s="165">
        <v>104</v>
      </c>
      <c r="DI117" s="165">
        <v>104</v>
      </c>
      <c r="DJ117" s="165">
        <v>84</v>
      </c>
      <c r="DK117" s="165">
        <v>0</v>
      </c>
      <c r="DL117" s="165">
        <v>0</v>
      </c>
      <c r="DM117" s="165">
        <v>0</v>
      </c>
      <c r="DN117" s="165">
        <v>627</v>
      </c>
      <c r="DO117" s="165">
        <v>208</v>
      </c>
      <c r="DP117" s="165">
        <v>84</v>
      </c>
      <c r="DQ117" s="165">
        <v>939</v>
      </c>
      <c r="DR117" s="165">
        <v>919</v>
      </c>
      <c r="DS117" s="165">
        <v>1023</v>
      </c>
      <c r="DT117" s="165">
        <v>0</v>
      </c>
      <c r="DU117" s="165">
        <v>151</v>
      </c>
      <c r="DV117" s="165">
        <v>148</v>
      </c>
      <c r="DW117" s="165">
        <v>5</v>
      </c>
      <c r="DX117" s="165">
        <v>153</v>
      </c>
      <c r="DY117" s="165">
        <v>1028</v>
      </c>
      <c r="DZ117" s="165">
        <v>77</v>
      </c>
      <c r="EA117" s="166">
        <v>61.949999999999996</v>
      </c>
      <c r="EB117" s="166">
        <v>58.949999999999996</v>
      </c>
      <c r="EC117" s="166">
        <v>31.61</v>
      </c>
      <c r="ED117" s="166">
        <v>20.305</v>
      </c>
      <c r="EE117" s="166">
        <v>0</v>
      </c>
      <c r="EF117" s="166">
        <v>63.050000000000004</v>
      </c>
      <c r="EG117" s="167">
        <v>6.5614105943372192E-2</v>
      </c>
      <c r="EH117" s="165"/>
      <c r="EI117" s="165">
        <v>106</v>
      </c>
      <c r="EJ117" s="165">
        <v>906</v>
      </c>
      <c r="EK117" s="165">
        <v>630</v>
      </c>
      <c r="EL117" s="165">
        <v>189</v>
      </c>
      <c r="EM117" s="165">
        <v>87</v>
      </c>
      <c r="EN117" s="165">
        <v>1012</v>
      </c>
      <c r="EO117" s="165">
        <v>0</v>
      </c>
      <c r="EP117" s="165">
        <v>150</v>
      </c>
      <c r="EQ117" s="165">
        <v>150</v>
      </c>
      <c r="ER117" s="165">
        <v>146</v>
      </c>
      <c r="ES117" s="165">
        <v>4</v>
      </c>
      <c r="ET117" s="165">
        <v>5</v>
      </c>
      <c r="EU117" s="166">
        <v>29.23</v>
      </c>
      <c r="EV117" s="166">
        <v>1</v>
      </c>
      <c r="EW117" s="166">
        <v>4.45</v>
      </c>
      <c r="EX117" s="166">
        <v>0</v>
      </c>
      <c r="EY117" s="166">
        <v>1</v>
      </c>
      <c r="EZ117" s="166">
        <v>35.68</v>
      </c>
      <c r="FA117" s="166">
        <v>4</v>
      </c>
      <c r="FB117" s="166">
        <v>97.222222222222229</v>
      </c>
      <c r="FC117" s="166">
        <v>101.22222222222223</v>
      </c>
      <c r="FD117" s="166">
        <v>98.966666666666669</v>
      </c>
      <c r="FE117" s="166">
        <v>103.81666666666666</v>
      </c>
      <c r="FF117" s="166">
        <v>102.43333333333334</v>
      </c>
      <c r="FG117" s="166">
        <v>103.36111111111111</v>
      </c>
      <c r="FH117" s="166">
        <v>103.25</v>
      </c>
      <c r="FI117" s="166">
        <v>100.20555555555555</v>
      </c>
      <c r="FJ117" s="166">
        <v>100.55</v>
      </c>
      <c r="FK117" s="166">
        <v>102.04444444444445</v>
      </c>
      <c r="FL117" s="166">
        <v>81.566666666666663</v>
      </c>
      <c r="FM117" s="166">
        <v>0</v>
      </c>
      <c r="FN117" s="166">
        <v>0</v>
      </c>
      <c r="FO117" s="166">
        <v>0</v>
      </c>
      <c r="FP117" s="166">
        <v>612.0333333333333</v>
      </c>
      <c r="FQ117" s="166">
        <v>202.59444444444443</v>
      </c>
      <c r="FR117" s="166">
        <v>81.566666666666663</v>
      </c>
      <c r="FS117" s="166">
        <v>915.85</v>
      </c>
      <c r="FT117" s="166">
        <v>896.19444444444434</v>
      </c>
      <c r="FU117" s="166">
        <v>997.41666666666674</v>
      </c>
      <c r="FV117" s="166">
        <v>145.37777777777777</v>
      </c>
      <c r="FW117" s="166">
        <v>5.6055555555555552</v>
      </c>
      <c r="FX117" s="166">
        <v>150.98333333333332</v>
      </c>
      <c r="FY117" s="166">
        <v>1003.0222222222224</v>
      </c>
      <c r="FZ117" s="165">
        <v>12</v>
      </c>
      <c r="GA117" s="165">
        <v>92</v>
      </c>
      <c r="GB117" s="165">
        <v>104</v>
      </c>
      <c r="GC117" s="165">
        <v>107</v>
      </c>
      <c r="GD117" s="165">
        <v>104</v>
      </c>
      <c r="GE117" s="165">
        <v>104</v>
      </c>
      <c r="GF117" s="165">
        <v>108</v>
      </c>
      <c r="GG117" s="165">
        <v>113</v>
      </c>
      <c r="GH117" s="165">
        <v>99</v>
      </c>
      <c r="GI117" s="165">
        <v>104</v>
      </c>
      <c r="GJ117" s="165">
        <v>101</v>
      </c>
      <c r="GK117" s="165">
        <v>91</v>
      </c>
      <c r="GL117" s="165">
        <v>0</v>
      </c>
      <c r="GM117" s="165">
        <v>0</v>
      </c>
      <c r="GN117" s="165">
        <v>0</v>
      </c>
      <c r="GO117" s="165">
        <v>635</v>
      </c>
      <c r="GP117" s="165">
        <v>205</v>
      </c>
      <c r="GQ117" s="165">
        <v>91</v>
      </c>
      <c r="GR117" s="165">
        <v>944</v>
      </c>
      <c r="GS117" s="165">
        <v>931</v>
      </c>
      <c r="GT117" s="165">
        <v>1035</v>
      </c>
      <c r="GU117" s="165">
        <v>0</v>
      </c>
      <c r="GV117" s="165">
        <v>118</v>
      </c>
      <c r="GW117" s="165">
        <v>145</v>
      </c>
      <c r="GX117" s="165">
        <v>4</v>
      </c>
      <c r="GY117" s="165">
        <v>149</v>
      </c>
      <c r="GZ117" s="165">
        <v>1039</v>
      </c>
      <c r="HA117" s="165">
        <v>75</v>
      </c>
      <c r="HB117" s="166">
        <v>61.17</v>
      </c>
      <c r="HC117" s="166">
        <v>59.169999999999995</v>
      </c>
      <c r="HD117" s="166">
        <v>31.27</v>
      </c>
      <c r="HE117" s="166">
        <v>20.481000000000002</v>
      </c>
      <c r="HF117" s="166"/>
      <c r="HG117" s="166">
        <v>62.21</v>
      </c>
      <c r="HH117" s="166">
        <v>0</v>
      </c>
      <c r="HI117" s="166">
        <v>149</v>
      </c>
      <c r="HJ117" s="166">
        <v>149</v>
      </c>
      <c r="HK117" s="166">
        <v>145</v>
      </c>
      <c r="HL117" s="166">
        <v>4</v>
      </c>
      <c r="HM117" s="166">
        <v>6</v>
      </c>
      <c r="HN117" s="166">
        <v>104</v>
      </c>
      <c r="HO117" s="166">
        <v>931</v>
      </c>
      <c r="HP117" s="166">
        <v>634</v>
      </c>
      <c r="HQ117" s="166">
        <v>210</v>
      </c>
      <c r="HR117" s="166">
        <v>87</v>
      </c>
      <c r="HS117" s="166">
        <v>1035</v>
      </c>
      <c r="HT117" s="166">
        <f>FY26_FE_Data_April15[[#This Row],[Oct 1, 2026 (CDC) - K]]+FY26_FE_Data_April15[[#This Row],[Oct 1, 2026 (CDC) - Grades 1-6]]+FY26_FE_Data_April15[[#This Row],[Oct 1, 2026 (CDC) - Grades 7-8]]</f>
        <v>948</v>
      </c>
      <c r="HU117" s="166">
        <v>0</v>
      </c>
      <c r="HW117" s="170"/>
      <c r="HY117" s="170"/>
    </row>
    <row r="118" spans="1:233" ht="39">
      <c r="A118" s="158" t="s">
        <v>566</v>
      </c>
      <c r="B118" s="159" t="s">
        <v>567</v>
      </c>
      <c r="C118" s="160" t="s">
        <v>568</v>
      </c>
      <c r="D118" s="160" t="s">
        <v>139</v>
      </c>
      <c r="E118" s="159" t="s">
        <v>784</v>
      </c>
      <c r="F118" s="159" t="s">
        <v>784</v>
      </c>
      <c r="G118" s="159"/>
      <c r="H118" s="161">
        <v>39.777777777777779</v>
      </c>
      <c r="I118" s="161">
        <v>5</v>
      </c>
      <c r="J118" s="161">
        <v>44.777777777777779</v>
      </c>
      <c r="K118" s="162">
        <v>63</v>
      </c>
      <c r="L118" s="162">
        <v>380</v>
      </c>
      <c r="M118" s="162">
        <v>92</v>
      </c>
      <c r="N118" s="162">
        <v>0</v>
      </c>
      <c r="O118" s="162">
        <v>535</v>
      </c>
      <c r="P118" s="162">
        <v>472</v>
      </c>
      <c r="Q118" s="162">
        <v>535</v>
      </c>
      <c r="R118" s="162">
        <v>6</v>
      </c>
      <c r="S118" s="160">
        <v>62.333333333333336</v>
      </c>
      <c r="T118" s="160">
        <v>52.077777777777776</v>
      </c>
      <c r="U118" s="160">
        <v>67.205555555555549</v>
      </c>
      <c r="V118" s="160">
        <v>48.844444444444441</v>
      </c>
      <c r="W118" s="160">
        <v>71.677777777777777</v>
      </c>
      <c r="X118" s="160">
        <v>70.00555555555556</v>
      </c>
      <c r="Y118" s="160">
        <v>56</v>
      </c>
      <c r="Z118" s="160">
        <v>40.833333333333336</v>
      </c>
      <c r="AA118" s="160">
        <v>45.611111111111114</v>
      </c>
      <c r="AB118" s="160">
        <v>0</v>
      </c>
      <c r="AC118" s="160">
        <v>0</v>
      </c>
      <c r="AD118" s="160">
        <v>0</v>
      </c>
      <c r="AE118" s="160">
        <v>0</v>
      </c>
      <c r="AF118" s="160">
        <v>365.81111111111113</v>
      </c>
      <c r="AG118" s="160">
        <v>86.444444444444457</v>
      </c>
      <c r="AH118" s="160">
        <v>0</v>
      </c>
      <c r="AI118" s="160">
        <v>514.58888888888896</v>
      </c>
      <c r="AJ118" s="160">
        <v>452.25555555555559</v>
      </c>
      <c r="AK118" s="160">
        <v>514.58888888888896</v>
      </c>
      <c r="AL118" s="161">
        <v>40.661111111111111</v>
      </c>
      <c r="AM118" s="161">
        <v>5.7277777777777779</v>
      </c>
      <c r="AN118" s="161">
        <v>46.388888888888886</v>
      </c>
      <c r="AO118" s="161">
        <v>520.31666666666672</v>
      </c>
      <c r="AP118" s="162">
        <v>46</v>
      </c>
      <c r="AQ118" s="168">
        <v>59</v>
      </c>
      <c r="AR118" s="160">
        <v>43</v>
      </c>
      <c r="AS118" s="160">
        <v>71</v>
      </c>
      <c r="AT118" s="160">
        <v>56</v>
      </c>
      <c r="AU118" s="160">
        <v>68</v>
      </c>
      <c r="AV118" s="160">
        <v>48</v>
      </c>
      <c r="AW118" s="160">
        <v>51</v>
      </c>
      <c r="AX118" s="160">
        <v>35</v>
      </c>
      <c r="AY118" s="160">
        <v>0</v>
      </c>
      <c r="AZ118" s="160">
        <v>0</v>
      </c>
      <c r="BA118" s="160">
        <v>0</v>
      </c>
      <c r="BB118" s="160">
        <v>0</v>
      </c>
      <c r="BC118" s="160">
        <v>345</v>
      </c>
      <c r="BD118" s="160">
        <v>86</v>
      </c>
      <c r="BE118" s="160">
        <v>0</v>
      </c>
      <c r="BF118" s="160">
        <v>477</v>
      </c>
      <c r="BG118" s="160">
        <v>431</v>
      </c>
      <c r="BH118" s="160">
        <v>477</v>
      </c>
      <c r="BI118" s="160">
        <v>46</v>
      </c>
      <c r="BJ118" s="160">
        <v>0</v>
      </c>
      <c r="BK118" s="160">
        <v>0</v>
      </c>
      <c r="BL118" s="160">
        <v>19</v>
      </c>
      <c r="BM118" s="160">
        <v>45</v>
      </c>
      <c r="BN118" s="162">
        <v>5</v>
      </c>
      <c r="BO118" s="162">
        <v>50</v>
      </c>
      <c r="BP118" s="162">
        <v>14</v>
      </c>
      <c r="BQ118" s="163">
        <v>7.9473304473304585E-2</v>
      </c>
      <c r="BR118" s="164">
        <v>37.550000000000004</v>
      </c>
      <c r="BS118" s="164">
        <v>36.550000000000004</v>
      </c>
      <c r="BT118" s="164">
        <v>35.767500000000005</v>
      </c>
      <c r="BU118" s="164">
        <v>38.917500000000004</v>
      </c>
      <c r="BV118" s="165">
        <v>0</v>
      </c>
      <c r="BW118" s="165">
        <v>0</v>
      </c>
      <c r="BX118" s="166">
        <v>0</v>
      </c>
      <c r="BY118" s="166">
        <v>0</v>
      </c>
      <c r="BZ118" s="166">
        <v>44.233333000000002</v>
      </c>
      <c r="CA118" s="166">
        <v>44.233333333333334</v>
      </c>
      <c r="CB118" s="166">
        <v>57.06666666666667</v>
      </c>
      <c r="CC118" s="166">
        <v>43.06111111111111</v>
      </c>
      <c r="CD118" s="166">
        <v>68.477777777777774</v>
      </c>
      <c r="CE118" s="166">
        <v>53.85</v>
      </c>
      <c r="CF118" s="166">
        <v>66.422222222222217</v>
      </c>
      <c r="CG118" s="166">
        <v>47.85</v>
      </c>
      <c r="CH118" s="166">
        <v>48.172222222222224</v>
      </c>
      <c r="CI118" s="166">
        <v>32.994444444444447</v>
      </c>
      <c r="CJ118" s="166">
        <v>0</v>
      </c>
      <c r="CK118" s="166">
        <v>0</v>
      </c>
      <c r="CL118" s="166">
        <v>0</v>
      </c>
      <c r="CM118" s="166">
        <v>0</v>
      </c>
      <c r="CN118" s="166">
        <v>336.72777777777776</v>
      </c>
      <c r="CO118" s="166">
        <v>81.166666666666671</v>
      </c>
      <c r="CP118" s="166">
        <v>0</v>
      </c>
      <c r="CQ118" s="166">
        <v>462.12777777777785</v>
      </c>
      <c r="CR118" s="166">
        <v>417.89444444444445</v>
      </c>
      <c r="CS118" s="166">
        <v>462.12777777777785</v>
      </c>
      <c r="CT118" s="166">
        <v>47.8</v>
      </c>
      <c r="CU118" s="166">
        <v>5.74444444444444</v>
      </c>
      <c r="CV118" s="166">
        <v>53.544444444444437</v>
      </c>
      <c r="CW118" s="166">
        <v>467.87222222222226</v>
      </c>
      <c r="CX118" s="166">
        <v>0</v>
      </c>
      <c r="CY118" s="166">
        <v>37</v>
      </c>
      <c r="CZ118" s="165">
        <v>0</v>
      </c>
      <c r="DA118" s="165">
        <v>37</v>
      </c>
      <c r="DB118" s="165">
        <v>43</v>
      </c>
      <c r="DC118" s="165">
        <v>59</v>
      </c>
      <c r="DD118" s="165">
        <v>41</v>
      </c>
      <c r="DE118" s="165">
        <v>69</v>
      </c>
      <c r="DF118" s="165">
        <v>47</v>
      </c>
      <c r="DG118" s="165">
        <v>55</v>
      </c>
      <c r="DH118" s="165">
        <v>41</v>
      </c>
      <c r="DI118" s="165">
        <v>30</v>
      </c>
      <c r="DJ118" s="165">
        <v>0</v>
      </c>
      <c r="DK118" s="165">
        <v>0</v>
      </c>
      <c r="DL118" s="165">
        <v>0</v>
      </c>
      <c r="DM118" s="165">
        <v>0</v>
      </c>
      <c r="DN118" s="165">
        <v>314</v>
      </c>
      <c r="DO118" s="165">
        <v>71</v>
      </c>
      <c r="DP118" s="165">
        <v>0</v>
      </c>
      <c r="DQ118" s="165">
        <v>422</v>
      </c>
      <c r="DR118" s="165">
        <v>385</v>
      </c>
      <c r="DS118" s="165">
        <v>422</v>
      </c>
      <c r="DT118" s="165">
        <v>0</v>
      </c>
      <c r="DU118" s="165">
        <v>6</v>
      </c>
      <c r="DV118" s="165">
        <v>47</v>
      </c>
      <c r="DW118" s="165">
        <v>2</v>
      </c>
      <c r="DX118" s="165">
        <v>49</v>
      </c>
      <c r="DY118" s="165">
        <v>424</v>
      </c>
      <c r="DZ118" s="165">
        <v>10</v>
      </c>
      <c r="EA118" s="166">
        <v>28.917999999999999</v>
      </c>
      <c r="EB118" s="166">
        <v>28.417999999999999</v>
      </c>
      <c r="EC118" s="166">
        <v>19</v>
      </c>
      <c r="ED118" s="166">
        <v>8.1679999999999993</v>
      </c>
      <c r="EE118" s="166">
        <v>0</v>
      </c>
      <c r="EF118" s="166">
        <v>32.518000000000001</v>
      </c>
      <c r="EG118" s="167">
        <v>9.2889357342022971E-2</v>
      </c>
      <c r="EH118" s="165"/>
      <c r="EI118" s="165">
        <v>41</v>
      </c>
      <c r="EJ118" s="165">
        <v>391</v>
      </c>
      <c r="EK118" s="165">
        <v>313</v>
      </c>
      <c r="EL118" s="165">
        <v>78</v>
      </c>
      <c r="EM118" s="165">
        <v>0</v>
      </c>
      <c r="EN118" s="165">
        <v>432</v>
      </c>
      <c r="EO118" s="165">
        <v>0</v>
      </c>
      <c r="EP118" s="165">
        <v>46</v>
      </c>
      <c r="EQ118" s="165">
        <v>46</v>
      </c>
      <c r="ER118" s="165">
        <v>40</v>
      </c>
      <c r="ES118" s="165">
        <v>6</v>
      </c>
      <c r="ET118" s="165">
        <v>1</v>
      </c>
      <c r="EU118" s="166">
        <v>13</v>
      </c>
      <c r="EV118" s="166">
        <v>1</v>
      </c>
      <c r="EW118" s="166">
        <v>4</v>
      </c>
      <c r="EX118" s="166">
        <v>1.75</v>
      </c>
      <c r="EY118" s="166">
        <v>2.5</v>
      </c>
      <c r="EZ118" s="166">
        <v>22.25</v>
      </c>
      <c r="FA118" s="166">
        <v>0</v>
      </c>
      <c r="FB118" s="166">
        <v>36.322222222222223</v>
      </c>
      <c r="FC118" s="166">
        <v>36.322222222222223</v>
      </c>
      <c r="FD118" s="166">
        <v>42.727777777777774</v>
      </c>
      <c r="FE118" s="166">
        <v>58.155555555555559</v>
      </c>
      <c r="FF118" s="166">
        <v>39.87222222222222</v>
      </c>
      <c r="FG118" s="166">
        <v>67.055555555555557</v>
      </c>
      <c r="FH118" s="166">
        <v>45.85</v>
      </c>
      <c r="FI118" s="166">
        <v>51.916666666666664</v>
      </c>
      <c r="FJ118" s="166">
        <v>37.93888888888889</v>
      </c>
      <c r="FK118" s="166">
        <v>28.455555555555556</v>
      </c>
      <c r="FL118" s="166">
        <v>0</v>
      </c>
      <c r="FM118" s="166">
        <v>0</v>
      </c>
      <c r="FN118" s="166">
        <v>0</v>
      </c>
      <c r="FO118" s="166">
        <v>0</v>
      </c>
      <c r="FP118" s="166">
        <v>305.57777777777773</v>
      </c>
      <c r="FQ118" s="166">
        <v>66.394444444444446</v>
      </c>
      <c r="FR118" s="166">
        <v>0</v>
      </c>
      <c r="FS118" s="166">
        <v>408.29444444444448</v>
      </c>
      <c r="FT118" s="166">
        <v>371.97222222222217</v>
      </c>
      <c r="FU118" s="166">
        <v>408.29444444444448</v>
      </c>
      <c r="FV118" s="166">
        <v>40.583333333333336</v>
      </c>
      <c r="FW118" s="166">
        <v>5.6833333333333336</v>
      </c>
      <c r="FX118" s="166">
        <v>46.266666666666666</v>
      </c>
      <c r="FY118" s="166">
        <v>413.97777777777782</v>
      </c>
      <c r="FZ118" s="165">
        <v>0</v>
      </c>
      <c r="GA118" s="165">
        <v>31</v>
      </c>
      <c r="GB118" s="165">
        <v>31</v>
      </c>
      <c r="GC118" s="165">
        <v>31</v>
      </c>
      <c r="GD118" s="165">
        <v>34</v>
      </c>
      <c r="GE118" s="165">
        <v>48</v>
      </c>
      <c r="GF118" s="165">
        <v>44</v>
      </c>
      <c r="GG118" s="165">
        <v>53</v>
      </c>
      <c r="GH118" s="165">
        <v>33</v>
      </c>
      <c r="GI118" s="165">
        <v>46</v>
      </c>
      <c r="GJ118" s="165">
        <v>28</v>
      </c>
      <c r="GK118" s="165">
        <v>0</v>
      </c>
      <c r="GL118" s="165">
        <v>0</v>
      </c>
      <c r="GM118" s="165">
        <v>0</v>
      </c>
      <c r="GN118" s="165">
        <v>0</v>
      </c>
      <c r="GO118" s="165">
        <v>243</v>
      </c>
      <c r="GP118" s="165">
        <v>74</v>
      </c>
      <c r="GQ118" s="165">
        <v>0</v>
      </c>
      <c r="GR118" s="165">
        <v>348</v>
      </c>
      <c r="GS118" s="165">
        <v>317</v>
      </c>
      <c r="GT118" s="165">
        <v>348</v>
      </c>
      <c r="GU118" s="165">
        <v>0</v>
      </c>
      <c r="GV118" s="165">
        <v>6</v>
      </c>
      <c r="GW118" s="165">
        <v>37</v>
      </c>
      <c r="GX118" s="165">
        <v>4</v>
      </c>
      <c r="GY118" s="165">
        <v>41</v>
      </c>
      <c r="GZ118" s="165">
        <v>352</v>
      </c>
      <c r="HA118" s="165">
        <v>7</v>
      </c>
      <c r="HB118" s="166">
        <v>26.768000000000001</v>
      </c>
      <c r="HC118" s="166">
        <v>26.768000000000001</v>
      </c>
      <c r="HD118" s="166">
        <v>15.98</v>
      </c>
      <c r="HE118" s="166">
        <v>7.4779999999999998</v>
      </c>
      <c r="HF118" s="166"/>
      <c r="HG118" s="166">
        <v>28.367999999999999</v>
      </c>
      <c r="HH118" s="166">
        <v>0</v>
      </c>
      <c r="HI118" s="166">
        <v>42</v>
      </c>
      <c r="HJ118" s="166">
        <v>42</v>
      </c>
      <c r="HK118" s="166">
        <v>38</v>
      </c>
      <c r="HL118" s="166">
        <v>4</v>
      </c>
      <c r="HM118" s="166">
        <v>1</v>
      </c>
      <c r="HN118" s="166">
        <v>31</v>
      </c>
      <c r="HO118" s="166">
        <v>317</v>
      </c>
      <c r="HP118" s="166">
        <v>243</v>
      </c>
      <c r="HQ118" s="166">
        <v>74</v>
      </c>
      <c r="HR118" s="166">
        <v>0</v>
      </c>
      <c r="HS118" s="166">
        <v>348</v>
      </c>
      <c r="HT118" s="166">
        <f>FY26_FE_Data_April15[[#This Row],[Oct 1, 2026 (CDC) - K]]+FY26_FE_Data_April15[[#This Row],[Oct 1, 2026 (CDC) - Grades 1-6]]+FY26_FE_Data_April15[[#This Row],[Oct 1, 2026 (CDC) - Grades 7-8]]</f>
        <v>348</v>
      </c>
      <c r="HU118" s="166">
        <v>0</v>
      </c>
      <c r="HW118" s="170"/>
      <c r="HY118" s="170"/>
    </row>
    <row r="119" spans="1:233" ht="52">
      <c r="A119" s="158" t="s">
        <v>569</v>
      </c>
      <c r="B119" s="159" t="s">
        <v>570</v>
      </c>
      <c r="C119" s="160" t="s">
        <v>571</v>
      </c>
      <c r="D119" s="160" t="s">
        <v>139</v>
      </c>
      <c r="E119" s="159" t="s">
        <v>784</v>
      </c>
      <c r="F119" s="159" t="s">
        <v>784</v>
      </c>
      <c r="G119" s="159"/>
      <c r="H119" s="161">
        <v>73.544444444444451</v>
      </c>
      <c r="I119" s="161">
        <v>0</v>
      </c>
      <c r="J119" s="161">
        <v>73.544444444444451</v>
      </c>
      <c r="K119" s="162">
        <v>52</v>
      </c>
      <c r="L119" s="162">
        <v>303</v>
      </c>
      <c r="M119" s="162">
        <v>94</v>
      </c>
      <c r="N119" s="162">
        <v>0</v>
      </c>
      <c r="O119" s="162">
        <v>449</v>
      </c>
      <c r="P119" s="162">
        <v>397</v>
      </c>
      <c r="Q119" s="162">
        <v>449</v>
      </c>
      <c r="R119" s="162">
        <v>2</v>
      </c>
      <c r="S119" s="160">
        <v>50.838888888888889</v>
      </c>
      <c r="T119" s="160">
        <v>47.833333333333336</v>
      </c>
      <c r="U119" s="160">
        <v>51.966666666666669</v>
      </c>
      <c r="V119" s="160">
        <v>49.888888888888886</v>
      </c>
      <c r="W119" s="160">
        <v>49.87777777777778</v>
      </c>
      <c r="X119" s="160">
        <v>54</v>
      </c>
      <c r="Y119" s="160">
        <v>43.18888888888889</v>
      </c>
      <c r="Z119" s="160">
        <v>50.538888888888891</v>
      </c>
      <c r="AA119" s="160">
        <v>39.394444444444446</v>
      </c>
      <c r="AB119" s="160">
        <v>0</v>
      </c>
      <c r="AC119" s="160">
        <v>0</v>
      </c>
      <c r="AD119" s="160">
        <v>0</v>
      </c>
      <c r="AE119" s="160">
        <v>0</v>
      </c>
      <c r="AF119" s="160">
        <v>296.75555555555553</v>
      </c>
      <c r="AG119" s="160">
        <v>89.933333333333337</v>
      </c>
      <c r="AH119" s="160">
        <v>0</v>
      </c>
      <c r="AI119" s="160">
        <v>437.52777777777777</v>
      </c>
      <c r="AJ119" s="160">
        <v>386.68888888888887</v>
      </c>
      <c r="AK119" s="160">
        <v>437.52777777777777</v>
      </c>
      <c r="AL119" s="161">
        <v>80.705555555555549</v>
      </c>
      <c r="AM119" s="161">
        <v>2.6444444444444444</v>
      </c>
      <c r="AN119" s="161">
        <v>83.35</v>
      </c>
      <c r="AO119" s="161">
        <v>440.17222222222222</v>
      </c>
      <c r="AP119" s="162">
        <v>52</v>
      </c>
      <c r="AQ119" s="168">
        <v>52</v>
      </c>
      <c r="AR119" s="160">
        <v>51</v>
      </c>
      <c r="AS119" s="160">
        <v>52</v>
      </c>
      <c r="AT119" s="160">
        <v>53</v>
      </c>
      <c r="AU119" s="160">
        <v>51</v>
      </c>
      <c r="AV119" s="160">
        <v>49</v>
      </c>
      <c r="AW119" s="160">
        <v>50</v>
      </c>
      <c r="AX119" s="160">
        <v>42</v>
      </c>
      <c r="AY119" s="160">
        <v>0</v>
      </c>
      <c r="AZ119" s="160">
        <v>0</v>
      </c>
      <c r="BA119" s="160">
        <v>0</v>
      </c>
      <c r="BB119" s="160">
        <v>0</v>
      </c>
      <c r="BC119" s="160">
        <v>308</v>
      </c>
      <c r="BD119" s="160">
        <v>92</v>
      </c>
      <c r="BE119" s="160">
        <v>0</v>
      </c>
      <c r="BF119" s="160">
        <v>452</v>
      </c>
      <c r="BG119" s="160">
        <v>400</v>
      </c>
      <c r="BH119" s="160">
        <v>452</v>
      </c>
      <c r="BI119" s="160">
        <v>30</v>
      </c>
      <c r="BJ119" s="160">
        <v>22</v>
      </c>
      <c r="BK119" s="160">
        <v>0</v>
      </c>
      <c r="BL119" s="160">
        <v>139</v>
      </c>
      <c r="BM119" s="160">
        <v>87</v>
      </c>
      <c r="BN119" s="162">
        <v>3</v>
      </c>
      <c r="BO119" s="162">
        <v>90</v>
      </c>
      <c r="BP119" s="162">
        <v>18</v>
      </c>
      <c r="BQ119" s="163">
        <v>5.433673469387762E-2</v>
      </c>
      <c r="BR119" s="164">
        <v>28.5</v>
      </c>
      <c r="BS119" s="164">
        <v>27.5</v>
      </c>
      <c r="BT119" s="164">
        <v>27.5</v>
      </c>
      <c r="BU119" s="164">
        <v>29.5</v>
      </c>
      <c r="BV119" s="165">
        <v>0</v>
      </c>
      <c r="BW119" s="165">
        <v>0</v>
      </c>
      <c r="BX119" s="166">
        <v>0</v>
      </c>
      <c r="BY119" s="166">
        <v>20.45</v>
      </c>
      <c r="BZ119" s="166">
        <v>29.477777</v>
      </c>
      <c r="CA119" s="166">
        <v>49.927777777777777</v>
      </c>
      <c r="CB119" s="166">
        <v>51.894444444444446</v>
      </c>
      <c r="CC119" s="166">
        <v>49.205555555555556</v>
      </c>
      <c r="CD119" s="166">
        <v>51.305555555555557</v>
      </c>
      <c r="CE119" s="166">
        <v>52.711111111111109</v>
      </c>
      <c r="CF119" s="166">
        <v>48.355555555555554</v>
      </c>
      <c r="CG119" s="166">
        <v>47.87222222222222</v>
      </c>
      <c r="CH119" s="166">
        <v>48.783333333333331</v>
      </c>
      <c r="CI119" s="166">
        <v>41.5</v>
      </c>
      <c r="CJ119" s="166">
        <v>0</v>
      </c>
      <c r="CK119" s="166">
        <v>0</v>
      </c>
      <c r="CL119" s="166">
        <v>0</v>
      </c>
      <c r="CM119" s="166">
        <v>0</v>
      </c>
      <c r="CN119" s="166">
        <v>301.34444444444443</v>
      </c>
      <c r="CO119" s="166">
        <v>90.283333333333331</v>
      </c>
      <c r="CP119" s="166">
        <v>0</v>
      </c>
      <c r="CQ119" s="166">
        <v>441.55555555555554</v>
      </c>
      <c r="CR119" s="166">
        <v>391.62777777777774</v>
      </c>
      <c r="CS119" s="166">
        <v>441.55555555555554</v>
      </c>
      <c r="CT119" s="166">
        <v>84.7777777777778</v>
      </c>
      <c r="CU119" s="166">
        <v>3.3277777777777802</v>
      </c>
      <c r="CV119" s="166">
        <v>88.105555555555583</v>
      </c>
      <c r="CW119" s="166">
        <v>444.88333333333333</v>
      </c>
      <c r="CX119" s="166">
        <v>0</v>
      </c>
      <c r="CY119" s="166">
        <v>34</v>
      </c>
      <c r="CZ119" s="165">
        <v>21</v>
      </c>
      <c r="DA119" s="165">
        <v>55</v>
      </c>
      <c r="DB119" s="165">
        <v>52</v>
      </c>
      <c r="DC119" s="165">
        <v>53</v>
      </c>
      <c r="DD119" s="165">
        <v>51</v>
      </c>
      <c r="DE119" s="165">
        <v>53</v>
      </c>
      <c r="DF119" s="165">
        <v>57</v>
      </c>
      <c r="DG119" s="165">
        <v>46</v>
      </c>
      <c r="DH119" s="165">
        <v>42</v>
      </c>
      <c r="DI119" s="165">
        <v>36</v>
      </c>
      <c r="DJ119" s="165">
        <v>0</v>
      </c>
      <c r="DK119" s="165">
        <v>0</v>
      </c>
      <c r="DL119" s="165">
        <v>0</v>
      </c>
      <c r="DM119" s="165">
        <v>0</v>
      </c>
      <c r="DN119" s="165">
        <v>312</v>
      </c>
      <c r="DO119" s="165">
        <v>78</v>
      </c>
      <c r="DP119" s="165">
        <v>0</v>
      </c>
      <c r="DQ119" s="165">
        <v>445</v>
      </c>
      <c r="DR119" s="165">
        <v>390</v>
      </c>
      <c r="DS119" s="165">
        <v>445</v>
      </c>
      <c r="DT119" s="165">
        <v>0</v>
      </c>
      <c r="DU119" s="165">
        <v>187</v>
      </c>
      <c r="DV119" s="165">
        <v>89</v>
      </c>
      <c r="DW119" s="165">
        <v>3</v>
      </c>
      <c r="DX119" s="165">
        <v>92</v>
      </c>
      <c r="DY119" s="165">
        <v>448</v>
      </c>
      <c r="DZ119" s="165">
        <v>14</v>
      </c>
      <c r="EA119" s="166">
        <v>28.33</v>
      </c>
      <c r="EB119" s="166">
        <v>28.33</v>
      </c>
      <c r="EC119" s="166">
        <v>20.91</v>
      </c>
      <c r="ED119" s="166">
        <v>5.92</v>
      </c>
      <c r="EE119" s="166">
        <v>0</v>
      </c>
      <c r="EF119" s="166">
        <v>29.83</v>
      </c>
      <c r="EG119" s="167">
        <v>5.8894230769230838E-2</v>
      </c>
      <c r="EH119" s="165"/>
      <c r="EI119" s="165">
        <v>55</v>
      </c>
      <c r="EJ119" s="165">
        <v>388</v>
      </c>
      <c r="EK119" s="165">
        <v>311</v>
      </c>
      <c r="EL119" s="165">
        <v>77</v>
      </c>
      <c r="EM119" s="165">
        <v>0</v>
      </c>
      <c r="EN119" s="165">
        <v>443</v>
      </c>
      <c r="EO119" s="165">
        <v>0</v>
      </c>
      <c r="EP119" s="165">
        <v>94</v>
      </c>
      <c r="EQ119" s="165">
        <v>94</v>
      </c>
      <c r="ER119" s="165">
        <v>89</v>
      </c>
      <c r="ES119" s="165">
        <v>5</v>
      </c>
      <c r="ET119" s="165">
        <v>19</v>
      </c>
      <c r="EU119" s="166">
        <v>27.95</v>
      </c>
      <c r="EV119" s="166">
        <v>3.15</v>
      </c>
      <c r="EW119" s="166">
        <v>2.72</v>
      </c>
      <c r="EX119" s="166">
        <v>0</v>
      </c>
      <c r="EY119" s="166">
        <v>14.9</v>
      </c>
      <c r="EZ119" s="166">
        <v>48.72</v>
      </c>
      <c r="FA119" s="166">
        <v>17.516666666666666</v>
      </c>
      <c r="FB119" s="166">
        <v>36.68888888888889</v>
      </c>
      <c r="FC119" s="166">
        <v>54.205555555555556</v>
      </c>
      <c r="FD119" s="166">
        <v>50.55</v>
      </c>
      <c r="FE119" s="166">
        <v>51.294444444444444</v>
      </c>
      <c r="FF119" s="166">
        <v>50.361111111111114</v>
      </c>
      <c r="FG119" s="166">
        <v>50.783333333333331</v>
      </c>
      <c r="FH119" s="166">
        <v>54.911111111111111</v>
      </c>
      <c r="FI119" s="166">
        <v>45.855555555555554</v>
      </c>
      <c r="FJ119" s="166">
        <v>41.411111111111111</v>
      </c>
      <c r="FK119" s="166">
        <v>33.844444444444441</v>
      </c>
      <c r="FL119" s="166">
        <v>0</v>
      </c>
      <c r="FM119" s="166">
        <v>0</v>
      </c>
      <c r="FN119" s="166">
        <v>0</v>
      </c>
      <c r="FO119" s="166">
        <v>0</v>
      </c>
      <c r="FP119" s="166">
        <v>303.75555555555553</v>
      </c>
      <c r="FQ119" s="166">
        <v>75.25555555555556</v>
      </c>
      <c r="FR119" s="166">
        <v>0</v>
      </c>
      <c r="FS119" s="166">
        <v>433.21666666666664</v>
      </c>
      <c r="FT119" s="166">
        <v>379.01111111111106</v>
      </c>
      <c r="FU119" s="166">
        <v>433.21666666666664</v>
      </c>
      <c r="FV119" s="166">
        <v>90.966666666666669</v>
      </c>
      <c r="FW119" s="166">
        <v>4.1111111111111107</v>
      </c>
      <c r="FX119" s="166">
        <v>95.077777777777783</v>
      </c>
      <c r="FY119" s="166">
        <v>437.32777777777773</v>
      </c>
      <c r="FZ119" s="165">
        <v>0</v>
      </c>
      <c r="GA119" s="165">
        <v>45</v>
      </c>
      <c r="GB119" s="165">
        <v>45</v>
      </c>
      <c r="GC119" s="165">
        <v>51</v>
      </c>
      <c r="GD119" s="165">
        <v>49</v>
      </c>
      <c r="GE119" s="165">
        <v>50</v>
      </c>
      <c r="GF119" s="165">
        <v>44</v>
      </c>
      <c r="GG119" s="165">
        <v>55</v>
      </c>
      <c r="GH119" s="165">
        <v>44</v>
      </c>
      <c r="GI119" s="165">
        <v>42</v>
      </c>
      <c r="GJ119" s="165">
        <v>28</v>
      </c>
      <c r="GK119" s="165">
        <v>0</v>
      </c>
      <c r="GL119" s="165">
        <v>0</v>
      </c>
      <c r="GM119" s="165">
        <v>0</v>
      </c>
      <c r="GN119" s="165">
        <v>0</v>
      </c>
      <c r="GO119" s="165">
        <v>293</v>
      </c>
      <c r="GP119" s="165">
        <v>70</v>
      </c>
      <c r="GQ119" s="165">
        <v>0</v>
      </c>
      <c r="GR119" s="165">
        <v>408</v>
      </c>
      <c r="GS119" s="165">
        <v>363</v>
      </c>
      <c r="GT119" s="165">
        <v>408</v>
      </c>
      <c r="GU119" s="165">
        <v>0</v>
      </c>
      <c r="GV119" s="165">
        <v>116</v>
      </c>
      <c r="GW119" s="165">
        <v>97</v>
      </c>
      <c r="GX119" s="165">
        <v>3</v>
      </c>
      <c r="GY119" s="165">
        <v>100</v>
      </c>
      <c r="GZ119" s="165">
        <v>411</v>
      </c>
      <c r="HA119" s="165">
        <v>14</v>
      </c>
      <c r="HB119" s="166">
        <v>30.257000000000001</v>
      </c>
      <c r="HC119" s="166">
        <v>30.257000000000001</v>
      </c>
      <c r="HD119" s="166">
        <v>19.256999999999998</v>
      </c>
      <c r="HE119" s="166">
        <v>6.5</v>
      </c>
      <c r="HF119" s="166"/>
      <c r="HG119" s="166">
        <v>32.256999999999998</v>
      </c>
      <c r="HH119" s="166">
        <v>0</v>
      </c>
      <c r="HI119" s="166">
        <v>100</v>
      </c>
      <c r="HJ119" s="166">
        <v>100</v>
      </c>
      <c r="HK119" s="166">
        <v>96</v>
      </c>
      <c r="HL119" s="166">
        <v>4</v>
      </c>
      <c r="HM119" s="166">
        <v>21</v>
      </c>
      <c r="HN119" s="166">
        <v>45</v>
      </c>
      <c r="HO119" s="166">
        <v>363</v>
      </c>
      <c r="HP119" s="166">
        <v>293</v>
      </c>
      <c r="HQ119" s="166">
        <v>70</v>
      </c>
      <c r="HR119" s="166">
        <v>0</v>
      </c>
      <c r="HS119" s="166">
        <v>408</v>
      </c>
      <c r="HT119" s="166">
        <f>FY26_FE_Data_April15[[#This Row],[Oct 1, 2026 (CDC) - K]]+FY26_FE_Data_April15[[#This Row],[Oct 1, 2026 (CDC) - Grades 1-6]]+FY26_FE_Data_April15[[#This Row],[Oct 1, 2026 (CDC) - Grades 7-8]]</f>
        <v>408</v>
      </c>
      <c r="HU119" s="166">
        <v>0</v>
      </c>
      <c r="HW119" s="170"/>
      <c r="HY119" s="170"/>
    </row>
    <row r="120" spans="1:233" ht="26">
      <c r="A120" s="158" t="s">
        <v>572</v>
      </c>
      <c r="B120" s="159" t="s">
        <v>573</v>
      </c>
      <c r="C120" s="160" t="s">
        <v>574</v>
      </c>
      <c r="D120" s="160" t="s">
        <v>139</v>
      </c>
      <c r="E120" s="159" t="s">
        <v>784</v>
      </c>
      <c r="F120" s="159" t="s">
        <v>784</v>
      </c>
      <c r="G120" s="159"/>
      <c r="H120" s="161">
        <v>91.788888888888891</v>
      </c>
      <c r="I120" s="161">
        <v>0.71111111111111114</v>
      </c>
      <c r="J120" s="161">
        <v>92.5</v>
      </c>
      <c r="K120" s="162">
        <v>73</v>
      </c>
      <c r="L120" s="162">
        <v>459</v>
      </c>
      <c r="M120" s="162">
        <v>134</v>
      </c>
      <c r="N120" s="162">
        <v>0</v>
      </c>
      <c r="O120" s="162">
        <v>666</v>
      </c>
      <c r="P120" s="162">
        <v>593</v>
      </c>
      <c r="Q120" s="162">
        <v>666</v>
      </c>
      <c r="R120" s="162">
        <v>5</v>
      </c>
      <c r="S120" s="160">
        <v>68.894444444444446</v>
      </c>
      <c r="T120" s="160">
        <v>70.788888888888891</v>
      </c>
      <c r="U120" s="160">
        <v>77.62777777777778</v>
      </c>
      <c r="V120" s="160">
        <v>73.938888888888883</v>
      </c>
      <c r="W120" s="160">
        <v>76.088888888888889</v>
      </c>
      <c r="X120" s="160">
        <v>75.822222222222223</v>
      </c>
      <c r="Y120" s="160">
        <v>72.783333333333331</v>
      </c>
      <c r="Z120" s="160">
        <v>66.805555555555557</v>
      </c>
      <c r="AA120" s="160">
        <v>59.738888888888887</v>
      </c>
      <c r="AB120" s="160">
        <v>0</v>
      </c>
      <c r="AC120" s="160">
        <v>0</v>
      </c>
      <c r="AD120" s="160">
        <v>0</v>
      </c>
      <c r="AE120" s="160">
        <v>0</v>
      </c>
      <c r="AF120" s="160">
        <v>447.04999999999995</v>
      </c>
      <c r="AG120" s="160">
        <v>126.54444444444445</v>
      </c>
      <c r="AH120" s="160">
        <v>0</v>
      </c>
      <c r="AI120" s="160">
        <v>642.48888888888894</v>
      </c>
      <c r="AJ120" s="160">
        <v>573.59444444444443</v>
      </c>
      <c r="AK120" s="160">
        <v>642.48888888888894</v>
      </c>
      <c r="AL120" s="161">
        <v>97.561111111111117</v>
      </c>
      <c r="AM120" s="161">
        <v>5</v>
      </c>
      <c r="AN120" s="161">
        <v>102.56111111111112</v>
      </c>
      <c r="AO120" s="161">
        <v>647.48888888888894</v>
      </c>
      <c r="AP120" s="162">
        <v>70</v>
      </c>
      <c r="AQ120" s="168">
        <v>68</v>
      </c>
      <c r="AR120" s="160">
        <v>76</v>
      </c>
      <c r="AS120" s="160">
        <v>78</v>
      </c>
      <c r="AT120" s="160">
        <v>79</v>
      </c>
      <c r="AU120" s="160">
        <v>74</v>
      </c>
      <c r="AV120" s="160">
        <v>75</v>
      </c>
      <c r="AW120" s="160">
        <v>60</v>
      </c>
      <c r="AX120" s="160">
        <v>67</v>
      </c>
      <c r="AY120" s="160">
        <v>0</v>
      </c>
      <c r="AZ120" s="160">
        <v>0</v>
      </c>
      <c r="BA120" s="160">
        <v>0</v>
      </c>
      <c r="BB120" s="160">
        <v>0</v>
      </c>
      <c r="BC120" s="160">
        <v>450</v>
      </c>
      <c r="BD120" s="160">
        <v>127</v>
      </c>
      <c r="BE120" s="160">
        <v>0</v>
      </c>
      <c r="BF120" s="160">
        <v>647</v>
      </c>
      <c r="BG120" s="160">
        <v>577</v>
      </c>
      <c r="BH120" s="160">
        <v>647</v>
      </c>
      <c r="BI120" s="160">
        <v>0</v>
      </c>
      <c r="BJ120" s="160">
        <v>70</v>
      </c>
      <c r="BK120" s="160">
        <v>0</v>
      </c>
      <c r="BL120" s="160">
        <v>190</v>
      </c>
      <c r="BM120" s="160">
        <v>97</v>
      </c>
      <c r="BN120" s="162">
        <v>2</v>
      </c>
      <c r="BO120" s="162">
        <v>99</v>
      </c>
      <c r="BP120" s="162">
        <v>33</v>
      </c>
      <c r="BQ120" s="163">
        <v>7.5295639320029584E-2</v>
      </c>
      <c r="BR120" s="164">
        <v>34.69</v>
      </c>
      <c r="BS120" s="164">
        <v>32.69</v>
      </c>
      <c r="BT120" s="164">
        <v>31.69</v>
      </c>
      <c r="BU120" s="164">
        <v>34.69</v>
      </c>
      <c r="BV120" s="165">
        <v>0</v>
      </c>
      <c r="BW120" s="165">
        <v>0</v>
      </c>
      <c r="BX120" s="166">
        <v>0</v>
      </c>
      <c r="BY120" s="166">
        <v>2</v>
      </c>
      <c r="BZ120" s="166">
        <v>68.716666000000004</v>
      </c>
      <c r="CA120" s="166">
        <v>70.716666666666669</v>
      </c>
      <c r="CB120" s="166">
        <v>66.05</v>
      </c>
      <c r="CC120" s="166">
        <v>75.938888888888883</v>
      </c>
      <c r="CD120" s="166">
        <v>77.099999999999994</v>
      </c>
      <c r="CE120" s="166">
        <v>76.933333333333337</v>
      </c>
      <c r="CF120" s="166">
        <v>73.355555555555554</v>
      </c>
      <c r="CG120" s="166">
        <v>76.066666666666663</v>
      </c>
      <c r="CH120" s="166">
        <v>58.972222222222221</v>
      </c>
      <c r="CI120" s="166">
        <v>64.311111111111117</v>
      </c>
      <c r="CJ120" s="166">
        <v>0</v>
      </c>
      <c r="CK120" s="166">
        <v>0</v>
      </c>
      <c r="CL120" s="166">
        <v>0</v>
      </c>
      <c r="CM120" s="166">
        <v>0</v>
      </c>
      <c r="CN120" s="166">
        <v>445.44444444444446</v>
      </c>
      <c r="CO120" s="166">
        <v>123.28333333333333</v>
      </c>
      <c r="CP120" s="166">
        <v>0</v>
      </c>
      <c r="CQ120" s="166">
        <v>639.44444444444434</v>
      </c>
      <c r="CR120" s="166">
        <v>568.72777777777776</v>
      </c>
      <c r="CS120" s="166">
        <v>639.44444444444434</v>
      </c>
      <c r="CT120" s="166">
        <v>98.822222222222194</v>
      </c>
      <c r="CU120" s="166">
        <v>2.1555555555555599</v>
      </c>
      <c r="CV120" s="166">
        <v>100.97777777777776</v>
      </c>
      <c r="CW120" s="166">
        <v>641.59999999999991</v>
      </c>
      <c r="CX120" s="166">
        <v>0</v>
      </c>
      <c r="CY120" s="166">
        <v>71</v>
      </c>
      <c r="CZ120" s="165">
        <v>4</v>
      </c>
      <c r="DA120" s="165">
        <v>75</v>
      </c>
      <c r="DB120" s="165">
        <v>76</v>
      </c>
      <c r="DC120" s="165">
        <v>72</v>
      </c>
      <c r="DD120" s="165">
        <v>76</v>
      </c>
      <c r="DE120" s="165">
        <v>80</v>
      </c>
      <c r="DF120" s="165">
        <v>85</v>
      </c>
      <c r="DG120" s="165">
        <v>79</v>
      </c>
      <c r="DH120" s="165">
        <v>76</v>
      </c>
      <c r="DI120" s="165">
        <v>73</v>
      </c>
      <c r="DJ120" s="165">
        <v>0</v>
      </c>
      <c r="DK120" s="165">
        <v>0</v>
      </c>
      <c r="DL120" s="165">
        <v>0</v>
      </c>
      <c r="DM120" s="165">
        <v>0</v>
      </c>
      <c r="DN120" s="165">
        <v>468</v>
      </c>
      <c r="DO120" s="165">
        <v>149</v>
      </c>
      <c r="DP120" s="165">
        <v>0</v>
      </c>
      <c r="DQ120" s="165">
        <v>692</v>
      </c>
      <c r="DR120" s="165">
        <v>617</v>
      </c>
      <c r="DS120" s="165">
        <v>692</v>
      </c>
      <c r="DT120" s="165">
        <v>0</v>
      </c>
      <c r="DU120" s="165">
        <v>209</v>
      </c>
      <c r="DV120" s="165">
        <v>110</v>
      </c>
      <c r="DW120" s="165">
        <v>4</v>
      </c>
      <c r="DX120" s="165">
        <v>114</v>
      </c>
      <c r="DY120" s="165">
        <v>696</v>
      </c>
      <c r="DZ120" s="165">
        <v>30</v>
      </c>
      <c r="EA120" s="166">
        <v>35.379000000000005</v>
      </c>
      <c r="EB120" s="166">
        <v>33.379000000000005</v>
      </c>
      <c r="EC120" s="166">
        <v>20.408999999999999</v>
      </c>
      <c r="ED120" s="166">
        <v>9.9700000000000006</v>
      </c>
      <c r="EE120" s="166">
        <v>0</v>
      </c>
      <c r="EF120" s="166">
        <v>36.338999999999999</v>
      </c>
      <c r="EG120" s="167">
        <v>7.8099309437685061E-2</v>
      </c>
      <c r="EH120" s="165"/>
      <c r="EI120" s="165">
        <v>75</v>
      </c>
      <c r="EJ120" s="165">
        <v>611</v>
      </c>
      <c r="EK120" s="165">
        <v>468</v>
      </c>
      <c r="EL120" s="165">
        <v>143</v>
      </c>
      <c r="EM120" s="165">
        <v>0</v>
      </c>
      <c r="EN120" s="165">
        <v>686</v>
      </c>
      <c r="EO120" s="165">
        <v>0</v>
      </c>
      <c r="EP120" s="165">
        <v>115</v>
      </c>
      <c r="EQ120" s="165">
        <v>115</v>
      </c>
      <c r="ER120" s="165">
        <v>111</v>
      </c>
      <c r="ES120" s="165">
        <v>4</v>
      </c>
      <c r="ET120" s="165">
        <v>9</v>
      </c>
      <c r="EU120" s="166">
        <v>17.513000000000002</v>
      </c>
      <c r="EV120" s="166">
        <v>1.25</v>
      </c>
      <c r="EW120" s="166">
        <v>3</v>
      </c>
      <c r="EX120" s="166">
        <v>0</v>
      </c>
      <c r="EY120" s="166">
        <v>8.0649999999999995</v>
      </c>
      <c r="EZ120" s="166">
        <v>29.828000000000003</v>
      </c>
      <c r="FA120" s="166">
        <v>0</v>
      </c>
      <c r="FB120" s="166">
        <v>74.677777777777777</v>
      </c>
      <c r="FC120" s="166">
        <v>74.677777777777777</v>
      </c>
      <c r="FD120" s="166">
        <v>72.772222222222226</v>
      </c>
      <c r="FE120" s="166">
        <v>74.288888888888891</v>
      </c>
      <c r="FF120" s="166">
        <v>75.333333333333329</v>
      </c>
      <c r="FG120" s="166">
        <v>77.861111111111114</v>
      </c>
      <c r="FH120" s="166">
        <v>81.55</v>
      </c>
      <c r="FI120" s="166">
        <v>77.8</v>
      </c>
      <c r="FJ120" s="166">
        <v>74.811111111111117</v>
      </c>
      <c r="FK120" s="166">
        <v>67.794444444444451</v>
      </c>
      <c r="FL120" s="166">
        <v>0</v>
      </c>
      <c r="FM120" s="166">
        <v>0</v>
      </c>
      <c r="FN120" s="166">
        <v>0</v>
      </c>
      <c r="FO120" s="166">
        <v>0</v>
      </c>
      <c r="FP120" s="166">
        <v>459.60555555555561</v>
      </c>
      <c r="FQ120" s="166">
        <v>142.60555555555555</v>
      </c>
      <c r="FR120" s="166">
        <v>0</v>
      </c>
      <c r="FS120" s="166">
        <v>676.88888888888891</v>
      </c>
      <c r="FT120" s="166">
        <v>602.21111111111122</v>
      </c>
      <c r="FU120" s="166">
        <v>676.88888888888891</v>
      </c>
      <c r="FV120" s="166">
        <v>112.47777777777777</v>
      </c>
      <c r="FW120" s="166">
        <v>2.1222222222222222</v>
      </c>
      <c r="FX120" s="166">
        <v>114.6</v>
      </c>
      <c r="FY120" s="166">
        <v>679.01111111111118</v>
      </c>
      <c r="FZ120" s="165">
        <v>5</v>
      </c>
      <c r="GA120" s="165">
        <v>68</v>
      </c>
      <c r="GB120" s="165">
        <v>73</v>
      </c>
      <c r="GC120" s="165">
        <v>75</v>
      </c>
      <c r="GD120" s="165">
        <v>73</v>
      </c>
      <c r="GE120" s="165">
        <v>77</v>
      </c>
      <c r="GF120" s="165">
        <v>81</v>
      </c>
      <c r="GG120" s="165">
        <v>77</v>
      </c>
      <c r="GH120" s="165">
        <v>78</v>
      </c>
      <c r="GI120" s="165">
        <v>75</v>
      </c>
      <c r="GJ120" s="165">
        <v>71</v>
      </c>
      <c r="GK120" s="165">
        <v>0</v>
      </c>
      <c r="GL120" s="165">
        <v>0</v>
      </c>
      <c r="GM120" s="165">
        <v>0</v>
      </c>
      <c r="GN120" s="165">
        <v>0</v>
      </c>
      <c r="GO120" s="165">
        <v>461</v>
      </c>
      <c r="GP120" s="165">
        <v>146</v>
      </c>
      <c r="GQ120" s="165">
        <v>0</v>
      </c>
      <c r="GR120" s="165">
        <v>680</v>
      </c>
      <c r="GS120" s="165">
        <v>607</v>
      </c>
      <c r="GT120" s="165">
        <v>680</v>
      </c>
      <c r="GU120" s="165">
        <v>0</v>
      </c>
      <c r="GV120" s="165">
        <v>198</v>
      </c>
      <c r="GW120" s="165">
        <v>115</v>
      </c>
      <c r="GX120" s="165">
        <v>2</v>
      </c>
      <c r="GY120" s="165">
        <v>117</v>
      </c>
      <c r="GZ120" s="165">
        <v>682</v>
      </c>
      <c r="HA120" s="165">
        <v>27</v>
      </c>
      <c r="HB120" s="166">
        <v>38.1</v>
      </c>
      <c r="HC120" s="166">
        <v>36.1</v>
      </c>
      <c r="HD120" s="166">
        <v>22.37</v>
      </c>
      <c r="HE120" s="166">
        <v>10.07</v>
      </c>
      <c r="HF120" s="166"/>
      <c r="HG120" s="166">
        <v>37.5</v>
      </c>
      <c r="HH120" s="166">
        <v>0</v>
      </c>
      <c r="HI120" s="166">
        <v>115</v>
      </c>
      <c r="HJ120" s="166">
        <v>115</v>
      </c>
      <c r="HK120" s="166">
        <v>113</v>
      </c>
      <c r="HL120" s="166">
        <v>2</v>
      </c>
      <c r="HM120" s="166">
        <v>8</v>
      </c>
      <c r="HN120" s="166">
        <v>68</v>
      </c>
      <c r="HO120" s="166">
        <v>617</v>
      </c>
      <c r="HP120" s="166">
        <v>468</v>
      </c>
      <c r="HQ120" s="166">
        <v>149</v>
      </c>
      <c r="HR120" s="166">
        <v>0</v>
      </c>
      <c r="HS120" s="166">
        <v>685</v>
      </c>
      <c r="HT120" s="166">
        <f>FY26_FE_Data_April15[[#This Row],[Oct 1, 2026 (CDC) - K]]+FY26_FE_Data_April15[[#This Row],[Oct 1, 2026 (CDC) - Grades 1-6]]+FY26_FE_Data_April15[[#This Row],[Oct 1, 2026 (CDC) - Grades 7-8]]</f>
        <v>685</v>
      </c>
      <c r="HU120" s="166">
        <v>0</v>
      </c>
      <c r="HW120" s="170"/>
      <c r="HY120" s="170"/>
    </row>
    <row r="121" spans="1:233" ht="52">
      <c r="A121" s="158" t="s">
        <v>575</v>
      </c>
      <c r="B121" s="159" t="s">
        <v>576</v>
      </c>
      <c r="C121" s="160" t="s">
        <v>577</v>
      </c>
      <c r="D121" s="160" t="s">
        <v>139</v>
      </c>
      <c r="E121" s="159" t="s">
        <v>784</v>
      </c>
      <c r="F121" s="159" t="s">
        <v>784</v>
      </c>
      <c r="G121" s="159"/>
      <c r="H121" s="161">
        <v>110.55</v>
      </c>
      <c r="I121" s="161">
        <v>2.3333333333333335</v>
      </c>
      <c r="J121" s="161">
        <v>112.88333333333333</v>
      </c>
      <c r="K121" s="162">
        <v>114</v>
      </c>
      <c r="L121" s="162">
        <v>545</v>
      </c>
      <c r="M121" s="162">
        <v>0</v>
      </c>
      <c r="N121" s="162">
        <v>0</v>
      </c>
      <c r="O121" s="162">
        <v>659</v>
      </c>
      <c r="P121" s="162">
        <v>545</v>
      </c>
      <c r="Q121" s="162">
        <v>659</v>
      </c>
      <c r="R121" s="162">
        <v>2</v>
      </c>
      <c r="S121" s="160">
        <v>114.34444444444445</v>
      </c>
      <c r="T121" s="160">
        <v>100.33888888888889</v>
      </c>
      <c r="U121" s="160">
        <v>94.74444444444444</v>
      </c>
      <c r="V121" s="160">
        <v>94.55</v>
      </c>
      <c r="W121" s="160">
        <v>97.605555555555554</v>
      </c>
      <c r="X121" s="160">
        <v>86.277777777777771</v>
      </c>
      <c r="Y121" s="160">
        <v>58.716666666666669</v>
      </c>
      <c r="Z121" s="160">
        <v>0</v>
      </c>
      <c r="AA121" s="160">
        <v>0</v>
      </c>
      <c r="AB121" s="160">
        <v>0</v>
      </c>
      <c r="AC121" s="160">
        <v>0</v>
      </c>
      <c r="AD121" s="160">
        <v>0</v>
      </c>
      <c r="AE121" s="160">
        <v>0</v>
      </c>
      <c r="AF121" s="160">
        <v>532.23333333333335</v>
      </c>
      <c r="AG121" s="160">
        <v>0</v>
      </c>
      <c r="AH121" s="160">
        <v>0</v>
      </c>
      <c r="AI121" s="160">
        <v>646.57777777777778</v>
      </c>
      <c r="AJ121" s="160">
        <v>532.23333333333335</v>
      </c>
      <c r="AK121" s="160">
        <v>646.57777777777778</v>
      </c>
      <c r="AL121" s="161">
        <v>100.63888888888889</v>
      </c>
      <c r="AM121" s="161">
        <v>1.3722222222222222</v>
      </c>
      <c r="AN121" s="161">
        <v>102.01111111111111</v>
      </c>
      <c r="AO121" s="161">
        <v>647.95000000000005</v>
      </c>
      <c r="AP121" s="162">
        <v>105</v>
      </c>
      <c r="AQ121" s="168">
        <v>123</v>
      </c>
      <c r="AR121" s="160">
        <v>107</v>
      </c>
      <c r="AS121" s="160">
        <v>95</v>
      </c>
      <c r="AT121" s="160">
        <v>102</v>
      </c>
      <c r="AU121" s="160">
        <v>105</v>
      </c>
      <c r="AV121" s="160">
        <v>88</v>
      </c>
      <c r="AW121" s="160">
        <v>0</v>
      </c>
      <c r="AX121" s="160">
        <v>0</v>
      </c>
      <c r="AY121" s="160">
        <v>0</v>
      </c>
      <c r="AZ121" s="160">
        <v>0</v>
      </c>
      <c r="BA121" s="160">
        <v>0</v>
      </c>
      <c r="BB121" s="160">
        <v>0</v>
      </c>
      <c r="BC121" s="160">
        <v>620</v>
      </c>
      <c r="BD121" s="160">
        <v>0</v>
      </c>
      <c r="BE121" s="160">
        <v>0</v>
      </c>
      <c r="BF121" s="160">
        <v>725</v>
      </c>
      <c r="BG121" s="160">
        <v>620</v>
      </c>
      <c r="BH121" s="160">
        <v>725</v>
      </c>
      <c r="BI121" s="160">
        <v>59</v>
      </c>
      <c r="BJ121" s="160">
        <v>46</v>
      </c>
      <c r="BK121" s="160">
        <v>0</v>
      </c>
      <c r="BL121" s="160">
        <v>199</v>
      </c>
      <c r="BM121" s="160">
        <v>84</v>
      </c>
      <c r="BN121" s="162">
        <v>1</v>
      </c>
      <c r="BO121" s="162">
        <v>85</v>
      </c>
      <c r="BP121" s="162">
        <v>34</v>
      </c>
      <c r="BQ121" s="163">
        <v>5.7136617749825425E-2</v>
      </c>
      <c r="BR121" s="164">
        <v>37.602999999999994</v>
      </c>
      <c r="BS121" s="164">
        <v>34.603000000000002</v>
      </c>
      <c r="BT121" s="164">
        <v>33.33</v>
      </c>
      <c r="BU121" s="164">
        <v>37.635999999999996</v>
      </c>
      <c r="BV121" s="165">
        <v>0</v>
      </c>
      <c r="BW121" s="165">
        <v>0</v>
      </c>
      <c r="BX121" s="166">
        <v>0</v>
      </c>
      <c r="BY121" s="166">
        <v>45.383333</v>
      </c>
      <c r="BZ121" s="166">
        <v>58.666665999999999</v>
      </c>
      <c r="CA121" s="166">
        <v>104.05</v>
      </c>
      <c r="CB121" s="166">
        <v>120.73888888888889</v>
      </c>
      <c r="CC121" s="166">
        <v>105.02222222222223</v>
      </c>
      <c r="CD121" s="166">
        <v>94.333333333333329</v>
      </c>
      <c r="CE121" s="166">
        <v>100.11666666666666</v>
      </c>
      <c r="CF121" s="166">
        <v>104.97777777777777</v>
      </c>
      <c r="CG121" s="166">
        <v>86.555555555555557</v>
      </c>
      <c r="CH121" s="166">
        <v>0</v>
      </c>
      <c r="CI121" s="166">
        <v>0</v>
      </c>
      <c r="CJ121" s="166">
        <v>0</v>
      </c>
      <c r="CK121" s="166">
        <v>0</v>
      </c>
      <c r="CL121" s="166">
        <v>0</v>
      </c>
      <c r="CM121" s="166">
        <v>0</v>
      </c>
      <c r="CN121" s="166">
        <v>611.74444444444441</v>
      </c>
      <c r="CO121" s="166">
        <v>0</v>
      </c>
      <c r="CP121" s="166">
        <v>0</v>
      </c>
      <c r="CQ121" s="166">
        <v>715.79444444444437</v>
      </c>
      <c r="CR121" s="166">
        <v>611.74444444444441</v>
      </c>
      <c r="CS121" s="166">
        <v>715.79444444444437</v>
      </c>
      <c r="CT121" s="166">
        <v>102.444444444444</v>
      </c>
      <c r="CU121" s="166">
        <v>0</v>
      </c>
      <c r="CV121" s="166">
        <v>102.444444444444</v>
      </c>
      <c r="CW121" s="166">
        <v>715.79444444444437</v>
      </c>
      <c r="CX121" s="166">
        <v>0</v>
      </c>
      <c r="CY121" s="166">
        <v>84</v>
      </c>
      <c r="CZ121" s="165">
        <v>23</v>
      </c>
      <c r="DA121" s="165">
        <v>107</v>
      </c>
      <c r="DB121" s="165">
        <v>113</v>
      </c>
      <c r="DC121" s="165">
        <v>111</v>
      </c>
      <c r="DD121" s="165">
        <v>106</v>
      </c>
      <c r="DE121" s="165">
        <v>91</v>
      </c>
      <c r="DF121" s="165">
        <v>96</v>
      </c>
      <c r="DG121" s="165">
        <v>96</v>
      </c>
      <c r="DH121" s="165">
        <v>0</v>
      </c>
      <c r="DI121" s="165">
        <v>0</v>
      </c>
      <c r="DJ121" s="165">
        <v>0</v>
      </c>
      <c r="DK121" s="165">
        <v>0</v>
      </c>
      <c r="DL121" s="165">
        <v>0</v>
      </c>
      <c r="DM121" s="165">
        <v>0</v>
      </c>
      <c r="DN121" s="165">
        <v>613</v>
      </c>
      <c r="DO121" s="165">
        <v>0</v>
      </c>
      <c r="DP121" s="165">
        <v>0</v>
      </c>
      <c r="DQ121" s="165">
        <v>720</v>
      </c>
      <c r="DR121" s="165">
        <v>613</v>
      </c>
      <c r="DS121" s="165">
        <v>720</v>
      </c>
      <c r="DT121" s="165">
        <v>0</v>
      </c>
      <c r="DU121" s="165">
        <v>156</v>
      </c>
      <c r="DV121" s="165">
        <v>73</v>
      </c>
      <c r="DW121" s="165">
        <v>0</v>
      </c>
      <c r="DX121" s="165">
        <v>73</v>
      </c>
      <c r="DY121" s="165">
        <v>720</v>
      </c>
      <c r="DZ121" s="165">
        <v>21</v>
      </c>
      <c r="EA121" s="166">
        <v>38.99</v>
      </c>
      <c r="EB121" s="166">
        <v>35.802000000000007</v>
      </c>
      <c r="EC121" s="166">
        <v>32.201000000000008</v>
      </c>
      <c r="ED121" s="166">
        <v>0</v>
      </c>
      <c r="EE121" s="166">
        <v>0</v>
      </c>
      <c r="EF121" s="166">
        <v>39.990000000000009</v>
      </c>
      <c r="EG121" s="167">
        <v>6.2626995051289547E-2</v>
      </c>
      <c r="EH121" s="165"/>
      <c r="EI121" s="165">
        <v>125</v>
      </c>
      <c r="EJ121" s="165">
        <v>588</v>
      </c>
      <c r="EK121" s="165">
        <v>588</v>
      </c>
      <c r="EL121" s="165">
        <v>0</v>
      </c>
      <c r="EM121" s="165">
        <v>0</v>
      </c>
      <c r="EN121" s="165">
        <v>713</v>
      </c>
      <c r="EO121" s="165">
        <v>0</v>
      </c>
      <c r="EP121" s="165">
        <v>83</v>
      </c>
      <c r="EQ121" s="165">
        <v>83</v>
      </c>
      <c r="ER121" s="165">
        <v>82</v>
      </c>
      <c r="ES121" s="165">
        <v>1</v>
      </c>
      <c r="ET121" s="165">
        <v>0</v>
      </c>
      <c r="EU121" s="166">
        <v>34.283999999999999</v>
      </c>
      <c r="EV121" s="166">
        <v>1.0660000000000001</v>
      </c>
      <c r="EW121" s="166">
        <v>6.7830000000000004</v>
      </c>
      <c r="EX121" s="166">
        <v>1.863</v>
      </c>
      <c r="EY121" s="166">
        <v>3.0009999999999999</v>
      </c>
      <c r="EZ121" s="166">
        <v>46.997</v>
      </c>
      <c r="FA121" s="166">
        <v>22</v>
      </c>
      <c r="FB121" s="166">
        <v>82.461111111111109</v>
      </c>
      <c r="FC121" s="166">
        <v>104.46111111111111</v>
      </c>
      <c r="FD121" s="166">
        <v>109.21666666666667</v>
      </c>
      <c r="FE121" s="166">
        <v>109.58333333333333</v>
      </c>
      <c r="FF121" s="166">
        <v>101.88888888888889</v>
      </c>
      <c r="FG121" s="166">
        <v>92.444444444444443</v>
      </c>
      <c r="FH121" s="166">
        <v>94.655555555555551</v>
      </c>
      <c r="FI121" s="166">
        <v>96.538888888888891</v>
      </c>
      <c r="FJ121" s="166">
        <v>0</v>
      </c>
      <c r="FK121" s="166">
        <v>0</v>
      </c>
      <c r="FL121" s="166">
        <v>0</v>
      </c>
      <c r="FM121" s="166">
        <v>0</v>
      </c>
      <c r="FN121" s="166">
        <v>0</v>
      </c>
      <c r="FO121" s="166">
        <v>0</v>
      </c>
      <c r="FP121" s="166">
        <v>604.32777777777778</v>
      </c>
      <c r="FQ121" s="166">
        <v>0</v>
      </c>
      <c r="FR121" s="166">
        <v>0</v>
      </c>
      <c r="FS121" s="166">
        <v>708.78888888888889</v>
      </c>
      <c r="FT121" s="166">
        <v>604.32777777777778</v>
      </c>
      <c r="FU121" s="166">
        <v>708.78888888888889</v>
      </c>
      <c r="FV121" s="166">
        <v>84.305555555555557</v>
      </c>
      <c r="FW121" s="166">
        <v>1.0111111111111111</v>
      </c>
      <c r="FX121" s="166">
        <v>85.316666666666663</v>
      </c>
      <c r="FY121" s="166">
        <v>709.8</v>
      </c>
      <c r="FZ121" s="165">
        <v>27</v>
      </c>
      <c r="GA121" s="165">
        <v>75</v>
      </c>
      <c r="GB121" s="165">
        <v>102</v>
      </c>
      <c r="GC121" s="165">
        <v>121</v>
      </c>
      <c r="GD121" s="165">
        <v>111</v>
      </c>
      <c r="GE121" s="165">
        <v>112</v>
      </c>
      <c r="GF121" s="165">
        <v>101</v>
      </c>
      <c r="GG121" s="165">
        <v>112</v>
      </c>
      <c r="GH121" s="165">
        <v>94</v>
      </c>
      <c r="GI121" s="165">
        <v>38</v>
      </c>
      <c r="GJ121" s="165">
        <v>0</v>
      </c>
      <c r="GK121" s="165">
        <v>0</v>
      </c>
      <c r="GL121" s="165">
        <v>0</v>
      </c>
      <c r="GM121" s="165">
        <v>0</v>
      </c>
      <c r="GN121" s="165">
        <v>0</v>
      </c>
      <c r="GO121" s="165">
        <v>651</v>
      </c>
      <c r="GP121" s="165">
        <v>38</v>
      </c>
      <c r="GQ121" s="165">
        <v>0</v>
      </c>
      <c r="GR121" s="165">
        <v>791</v>
      </c>
      <c r="GS121" s="165">
        <v>689</v>
      </c>
      <c r="GT121" s="165">
        <v>791</v>
      </c>
      <c r="GU121" s="165">
        <v>0</v>
      </c>
      <c r="GV121" s="165">
        <v>152</v>
      </c>
      <c r="GW121" s="165">
        <v>91</v>
      </c>
      <c r="GX121" s="165">
        <v>0</v>
      </c>
      <c r="GY121" s="165">
        <v>91</v>
      </c>
      <c r="GZ121" s="165">
        <v>791</v>
      </c>
      <c r="HA121" s="165">
        <v>23</v>
      </c>
      <c r="HB121" s="166">
        <v>37.198</v>
      </c>
      <c r="HC121" s="166">
        <v>35.198</v>
      </c>
      <c r="HD121" s="166">
        <v>31.723000000000003</v>
      </c>
      <c r="HE121" s="166">
        <v>0.85</v>
      </c>
      <c r="HF121" s="166"/>
      <c r="HG121" s="166">
        <v>38.427999999999997</v>
      </c>
      <c r="HH121" s="166">
        <v>0</v>
      </c>
      <c r="HI121" s="166">
        <v>97</v>
      </c>
      <c r="HJ121" s="166">
        <v>97</v>
      </c>
      <c r="HK121" s="166">
        <v>97</v>
      </c>
      <c r="HL121" s="166">
        <v>0</v>
      </c>
      <c r="HM121" s="166">
        <v>0</v>
      </c>
      <c r="HN121" s="166">
        <v>137</v>
      </c>
      <c r="HO121" s="166">
        <v>654</v>
      </c>
      <c r="HP121" s="166">
        <v>654</v>
      </c>
      <c r="HQ121" s="166">
        <v>0</v>
      </c>
      <c r="HR121" s="166">
        <v>0</v>
      </c>
      <c r="HS121" s="166">
        <v>791</v>
      </c>
      <c r="HT121" s="166">
        <f>FY26_FE_Data_April15[[#This Row],[Oct 1, 2026 (CDC) - K]]+FY26_FE_Data_April15[[#This Row],[Oct 1, 2026 (CDC) - Grades 1-6]]+FY26_FE_Data_April15[[#This Row],[Oct 1, 2026 (CDC) - Grades 7-8]]</f>
        <v>791</v>
      </c>
      <c r="HU121" s="166">
        <v>0</v>
      </c>
      <c r="HW121" s="170"/>
      <c r="HY121" s="170"/>
    </row>
    <row r="122" spans="1:233" ht="26">
      <c r="A122" s="158" t="s">
        <v>578</v>
      </c>
      <c r="B122" s="159" t="s">
        <v>579</v>
      </c>
      <c r="C122" s="160" t="s">
        <v>580</v>
      </c>
      <c r="D122" s="160" t="s">
        <v>139</v>
      </c>
      <c r="E122" s="159" t="s">
        <v>784</v>
      </c>
      <c r="F122" s="159" t="s">
        <v>784</v>
      </c>
      <c r="G122" s="159"/>
      <c r="H122" s="161">
        <v>67.738888888888894</v>
      </c>
      <c r="I122" s="161">
        <v>6.0777777777777775</v>
      </c>
      <c r="J122" s="161">
        <v>73.816666666666677</v>
      </c>
      <c r="K122" s="162">
        <v>49</v>
      </c>
      <c r="L122" s="162">
        <v>282</v>
      </c>
      <c r="M122" s="162">
        <v>93</v>
      </c>
      <c r="N122" s="162">
        <v>0</v>
      </c>
      <c r="O122" s="162">
        <v>424</v>
      </c>
      <c r="P122" s="162">
        <v>375</v>
      </c>
      <c r="Q122" s="162">
        <v>424</v>
      </c>
      <c r="R122" s="162">
        <v>4</v>
      </c>
      <c r="S122" s="160">
        <v>49.544444444444444</v>
      </c>
      <c r="T122" s="160">
        <v>42.955555555555556</v>
      </c>
      <c r="U122" s="160">
        <v>42.43888888888889</v>
      </c>
      <c r="V122" s="160">
        <v>45.422222222222224</v>
      </c>
      <c r="W122" s="160">
        <v>55.388888888888886</v>
      </c>
      <c r="X122" s="160">
        <v>43.966666666666669</v>
      </c>
      <c r="Y122" s="160">
        <v>42.233333333333334</v>
      </c>
      <c r="Z122" s="160">
        <v>42.916666666666664</v>
      </c>
      <c r="AA122" s="160">
        <v>50.3</v>
      </c>
      <c r="AB122" s="160">
        <v>0</v>
      </c>
      <c r="AC122" s="160">
        <v>0</v>
      </c>
      <c r="AD122" s="160">
        <v>0</v>
      </c>
      <c r="AE122" s="160">
        <v>0</v>
      </c>
      <c r="AF122" s="160">
        <v>272.40555555555557</v>
      </c>
      <c r="AG122" s="160">
        <v>93.216666666666669</v>
      </c>
      <c r="AH122" s="160">
        <v>0</v>
      </c>
      <c r="AI122" s="160">
        <v>415.16666666666674</v>
      </c>
      <c r="AJ122" s="160">
        <v>365.62222222222226</v>
      </c>
      <c r="AK122" s="160">
        <v>415.16666666666674</v>
      </c>
      <c r="AL122" s="161">
        <v>47.983333333333334</v>
      </c>
      <c r="AM122" s="161">
        <v>3.6111111111111112</v>
      </c>
      <c r="AN122" s="161">
        <v>51.594444444444449</v>
      </c>
      <c r="AO122" s="161">
        <v>418.77777777777783</v>
      </c>
      <c r="AP122" s="162">
        <v>36</v>
      </c>
      <c r="AQ122" s="168">
        <v>43</v>
      </c>
      <c r="AR122" s="160">
        <v>38</v>
      </c>
      <c r="AS122" s="160">
        <v>34</v>
      </c>
      <c r="AT122" s="160">
        <v>39</v>
      </c>
      <c r="AU122" s="160">
        <v>59</v>
      </c>
      <c r="AV122" s="160">
        <v>38</v>
      </c>
      <c r="AW122" s="160">
        <v>37</v>
      </c>
      <c r="AX122" s="160">
        <v>41</v>
      </c>
      <c r="AY122" s="160">
        <v>0</v>
      </c>
      <c r="AZ122" s="160">
        <v>0</v>
      </c>
      <c r="BA122" s="160">
        <v>0</v>
      </c>
      <c r="BB122" s="160">
        <v>0</v>
      </c>
      <c r="BC122" s="160">
        <v>251</v>
      </c>
      <c r="BD122" s="160">
        <v>78</v>
      </c>
      <c r="BE122" s="160">
        <v>0</v>
      </c>
      <c r="BF122" s="160">
        <v>365</v>
      </c>
      <c r="BG122" s="160">
        <v>329</v>
      </c>
      <c r="BH122" s="160">
        <v>365</v>
      </c>
      <c r="BI122" s="160">
        <v>33</v>
      </c>
      <c r="BJ122" s="160">
        <v>3</v>
      </c>
      <c r="BK122" s="160">
        <v>0</v>
      </c>
      <c r="BL122" s="160">
        <v>88</v>
      </c>
      <c r="BM122" s="160">
        <v>41</v>
      </c>
      <c r="BN122" s="162">
        <v>1</v>
      </c>
      <c r="BO122" s="162">
        <v>42</v>
      </c>
      <c r="BP122" s="162">
        <v>34</v>
      </c>
      <c r="BQ122" s="163">
        <v>6.5557690767875709E-2</v>
      </c>
      <c r="BR122" s="164">
        <v>21.63</v>
      </c>
      <c r="BS122" s="164">
        <v>21.63</v>
      </c>
      <c r="BT122" s="164">
        <v>21.63</v>
      </c>
      <c r="BU122" s="164">
        <v>22.63</v>
      </c>
      <c r="BV122" s="165">
        <v>0</v>
      </c>
      <c r="BW122" s="165">
        <v>0</v>
      </c>
      <c r="BX122" s="166">
        <v>0</v>
      </c>
      <c r="BY122" s="166">
        <v>2.8444440000000002</v>
      </c>
      <c r="BZ122" s="166">
        <v>33.516666000000001</v>
      </c>
      <c r="CA122" s="166">
        <v>36.361111111111114</v>
      </c>
      <c r="CB122" s="166">
        <v>44.094444444444441</v>
      </c>
      <c r="CC122" s="166">
        <v>37.538888888888891</v>
      </c>
      <c r="CD122" s="166">
        <v>32.961111111111109</v>
      </c>
      <c r="CE122" s="166">
        <v>40.911111111111111</v>
      </c>
      <c r="CF122" s="166">
        <v>57.705555555555556</v>
      </c>
      <c r="CG122" s="166">
        <v>35.366666666666667</v>
      </c>
      <c r="CH122" s="166">
        <v>36.344444444444441</v>
      </c>
      <c r="CI122" s="166">
        <v>38.072222222222223</v>
      </c>
      <c r="CJ122" s="166">
        <v>0</v>
      </c>
      <c r="CK122" s="166">
        <v>0</v>
      </c>
      <c r="CL122" s="166">
        <v>0</v>
      </c>
      <c r="CM122" s="166">
        <v>0</v>
      </c>
      <c r="CN122" s="166">
        <v>248.57777777777775</v>
      </c>
      <c r="CO122" s="166">
        <v>74.416666666666657</v>
      </c>
      <c r="CP122" s="166">
        <v>0</v>
      </c>
      <c r="CQ122" s="166">
        <v>359.3555555555555</v>
      </c>
      <c r="CR122" s="166">
        <v>322.99444444444441</v>
      </c>
      <c r="CS122" s="166">
        <v>359.3555555555555</v>
      </c>
      <c r="CT122" s="166">
        <v>39.927777777777798</v>
      </c>
      <c r="CU122" s="166">
        <v>1</v>
      </c>
      <c r="CV122" s="166">
        <v>40.927777777777798</v>
      </c>
      <c r="CW122" s="166">
        <v>360.3555555555555</v>
      </c>
      <c r="CX122" s="166">
        <v>0</v>
      </c>
      <c r="CY122" s="166">
        <v>33</v>
      </c>
      <c r="CZ122" s="165">
        <v>0</v>
      </c>
      <c r="DA122" s="165">
        <v>33</v>
      </c>
      <c r="DB122" s="165">
        <v>32</v>
      </c>
      <c r="DC122" s="165">
        <v>44</v>
      </c>
      <c r="DD122" s="165">
        <v>39</v>
      </c>
      <c r="DE122" s="165">
        <v>32</v>
      </c>
      <c r="DF122" s="165">
        <v>39</v>
      </c>
      <c r="DG122" s="165">
        <v>50</v>
      </c>
      <c r="DH122" s="165">
        <v>33</v>
      </c>
      <c r="DI122" s="165">
        <v>35</v>
      </c>
      <c r="DJ122" s="165">
        <v>0</v>
      </c>
      <c r="DK122" s="165">
        <v>0</v>
      </c>
      <c r="DL122" s="165">
        <v>0</v>
      </c>
      <c r="DM122" s="165">
        <v>0</v>
      </c>
      <c r="DN122" s="165">
        <v>236</v>
      </c>
      <c r="DO122" s="165">
        <v>68</v>
      </c>
      <c r="DP122" s="165">
        <v>0</v>
      </c>
      <c r="DQ122" s="165">
        <v>337</v>
      </c>
      <c r="DR122" s="165">
        <v>304</v>
      </c>
      <c r="DS122" s="165">
        <v>337</v>
      </c>
      <c r="DT122" s="165">
        <v>0</v>
      </c>
      <c r="DU122" s="165">
        <v>83</v>
      </c>
      <c r="DV122" s="165">
        <v>41</v>
      </c>
      <c r="DW122" s="165">
        <v>2</v>
      </c>
      <c r="DX122" s="165">
        <v>43</v>
      </c>
      <c r="DY122" s="165">
        <v>339</v>
      </c>
      <c r="DZ122" s="165">
        <v>39</v>
      </c>
      <c r="EA122" s="166">
        <v>17.63</v>
      </c>
      <c r="EB122" s="166">
        <v>17.63</v>
      </c>
      <c r="EC122" s="166">
        <v>13.63</v>
      </c>
      <c r="ED122" s="166">
        <v>4</v>
      </c>
      <c r="EE122" s="166">
        <v>0</v>
      </c>
      <c r="EF122" s="166">
        <v>20.630000000000003</v>
      </c>
      <c r="EG122" s="167">
        <v>6.1615755627009661E-2</v>
      </c>
      <c r="EH122" s="165"/>
      <c r="EI122" s="165">
        <v>32</v>
      </c>
      <c r="EJ122" s="165">
        <v>304</v>
      </c>
      <c r="EK122" s="165">
        <v>244</v>
      </c>
      <c r="EL122" s="165">
        <v>60</v>
      </c>
      <c r="EM122" s="165">
        <v>0</v>
      </c>
      <c r="EN122" s="165">
        <v>336</v>
      </c>
      <c r="EO122" s="165">
        <v>0</v>
      </c>
      <c r="EP122" s="165">
        <v>50</v>
      </c>
      <c r="EQ122" s="165">
        <v>50</v>
      </c>
      <c r="ER122" s="165">
        <v>48</v>
      </c>
      <c r="ES122" s="165">
        <v>2</v>
      </c>
      <c r="ET122" s="165">
        <v>1</v>
      </c>
      <c r="EU122" s="166">
        <v>10.25</v>
      </c>
      <c r="EV122" s="166">
        <v>0</v>
      </c>
      <c r="EW122" s="166">
        <v>2</v>
      </c>
      <c r="EX122" s="166">
        <v>0.63</v>
      </c>
      <c r="EY122" s="166">
        <v>8.4</v>
      </c>
      <c r="EZ122" s="166">
        <v>21.28</v>
      </c>
      <c r="FA122" s="166">
        <v>0</v>
      </c>
      <c r="FB122" s="166">
        <v>31.411111111111111</v>
      </c>
      <c r="FC122" s="166">
        <v>31.411111111111111</v>
      </c>
      <c r="FD122" s="166">
        <v>32.105555555555554</v>
      </c>
      <c r="FE122" s="166">
        <v>42.861111111111114</v>
      </c>
      <c r="FF122" s="166">
        <v>38.977777777777774</v>
      </c>
      <c r="FG122" s="166">
        <v>33</v>
      </c>
      <c r="FH122" s="166">
        <v>40.266666666666666</v>
      </c>
      <c r="FI122" s="166">
        <v>48.355555555555554</v>
      </c>
      <c r="FJ122" s="166">
        <v>31.355555555555554</v>
      </c>
      <c r="FK122" s="166">
        <v>34.911111111111111</v>
      </c>
      <c r="FL122" s="166">
        <v>0</v>
      </c>
      <c r="FM122" s="166">
        <v>0</v>
      </c>
      <c r="FN122" s="166">
        <v>0</v>
      </c>
      <c r="FO122" s="166">
        <v>0</v>
      </c>
      <c r="FP122" s="166">
        <v>235.56666666666666</v>
      </c>
      <c r="FQ122" s="166">
        <v>66.266666666666666</v>
      </c>
      <c r="FR122" s="166">
        <v>0</v>
      </c>
      <c r="FS122" s="166">
        <v>333.24444444444441</v>
      </c>
      <c r="FT122" s="166">
        <v>301.83333333333331</v>
      </c>
      <c r="FU122" s="166">
        <v>333.24444444444441</v>
      </c>
      <c r="FV122" s="166">
        <v>44.6</v>
      </c>
      <c r="FW122" s="166">
        <v>2.0111111111111111</v>
      </c>
      <c r="FX122" s="166">
        <v>46.611111111111114</v>
      </c>
      <c r="FY122" s="166">
        <v>335.25555555555553</v>
      </c>
      <c r="FZ122" s="165">
        <v>0</v>
      </c>
      <c r="GA122" s="165">
        <v>35</v>
      </c>
      <c r="GB122" s="165">
        <v>35</v>
      </c>
      <c r="GC122" s="165">
        <v>32</v>
      </c>
      <c r="GD122" s="165">
        <v>36</v>
      </c>
      <c r="GE122" s="165">
        <v>44</v>
      </c>
      <c r="GF122" s="165">
        <v>33</v>
      </c>
      <c r="GG122" s="165">
        <v>34</v>
      </c>
      <c r="GH122" s="165">
        <v>34</v>
      </c>
      <c r="GI122" s="165">
        <v>32</v>
      </c>
      <c r="GJ122" s="165">
        <v>19</v>
      </c>
      <c r="GK122" s="165">
        <v>0</v>
      </c>
      <c r="GL122" s="165">
        <v>0</v>
      </c>
      <c r="GM122" s="165">
        <v>0</v>
      </c>
      <c r="GN122" s="165">
        <v>0</v>
      </c>
      <c r="GO122" s="165">
        <v>213</v>
      </c>
      <c r="GP122" s="165">
        <v>51</v>
      </c>
      <c r="GQ122" s="165">
        <v>0</v>
      </c>
      <c r="GR122" s="165">
        <v>299</v>
      </c>
      <c r="GS122" s="165">
        <v>264</v>
      </c>
      <c r="GT122" s="165">
        <v>299</v>
      </c>
      <c r="GU122" s="165">
        <v>0</v>
      </c>
      <c r="GV122" s="165">
        <v>78</v>
      </c>
      <c r="GW122" s="165">
        <v>34</v>
      </c>
      <c r="GX122" s="165">
        <v>1</v>
      </c>
      <c r="GY122" s="165">
        <v>35</v>
      </c>
      <c r="GZ122" s="165">
        <v>300</v>
      </c>
      <c r="HA122" s="165">
        <v>48</v>
      </c>
      <c r="HB122" s="166">
        <v>20</v>
      </c>
      <c r="HC122" s="166">
        <v>20</v>
      </c>
      <c r="HD122" s="166">
        <v>15</v>
      </c>
      <c r="HE122" s="166">
        <v>4</v>
      </c>
      <c r="HF122" s="166"/>
      <c r="HG122" s="166">
        <v>20</v>
      </c>
      <c r="HH122" s="166">
        <v>0</v>
      </c>
      <c r="HI122" s="166">
        <v>35</v>
      </c>
      <c r="HJ122" s="166">
        <v>35</v>
      </c>
      <c r="HK122" s="166">
        <v>34</v>
      </c>
      <c r="HL122" s="166">
        <v>1</v>
      </c>
      <c r="HM122" s="166">
        <v>2</v>
      </c>
      <c r="HN122" s="166">
        <v>35</v>
      </c>
      <c r="HO122" s="166">
        <v>264</v>
      </c>
      <c r="HP122" s="166">
        <v>213</v>
      </c>
      <c r="HQ122" s="166">
        <v>51</v>
      </c>
      <c r="HR122" s="166">
        <v>0</v>
      </c>
      <c r="HS122" s="166">
        <v>299</v>
      </c>
      <c r="HT122" s="166">
        <f>FY26_FE_Data_April15[[#This Row],[Oct 1, 2026 (CDC) - K]]+FY26_FE_Data_April15[[#This Row],[Oct 1, 2026 (CDC) - Grades 1-6]]+FY26_FE_Data_April15[[#This Row],[Oct 1, 2026 (CDC) - Grades 7-8]]</f>
        <v>299</v>
      </c>
      <c r="HU122" s="166">
        <v>0</v>
      </c>
      <c r="HW122" s="170"/>
      <c r="HY122" s="170"/>
    </row>
    <row r="123" spans="1:233" ht="52">
      <c r="A123" s="158" t="s">
        <v>581</v>
      </c>
      <c r="B123" s="159" t="s">
        <v>582</v>
      </c>
      <c r="C123" s="160" t="s">
        <v>583</v>
      </c>
      <c r="D123" s="160" t="s">
        <v>139</v>
      </c>
      <c r="E123" s="159" t="s">
        <v>784</v>
      </c>
      <c r="F123" s="159" t="s">
        <v>784</v>
      </c>
      <c r="G123" s="159"/>
      <c r="H123" s="161">
        <v>89.338888888888889</v>
      </c>
      <c r="I123" s="161">
        <v>6.0111111111111111</v>
      </c>
      <c r="J123" s="161">
        <v>95.35</v>
      </c>
      <c r="K123" s="162">
        <v>79</v>
      </c>
      <c r="L123" s="162">
        <v>485</v>
      </c>
      <c r="M123" s="162">
        <v>123</v>
      </c>
      <c r="N123" s="162">
        <v>0</v>
      </c>
      <c r="O123" s="162">
        <v>687</v>
      </c>
      <c r="P123" s="162">
        <v>608</v>
      </c>
      <c r="Q123" s="162">
        <v>687</v>
      </c>
      <c r="R123" s="162">
        <v>5</v>
      </c>
      <c r="S123" s="160">
        <v>78.533333333333331</v>
      </c>
      <c r="T123" s="160">
        <v>81.816666666666663</v>
      </c>
      <c r="U123" s="160">
        <v>81.988888888888894</v>
      </c>
      <c r="V123" s="160">
        <v>82.977777777777774</v>
      </c>
      <c r="W123" s="160">
        <v>76.161111111111111</v>
      </c>
      <c r="X123" s="160">
        <v>80.111111111111114</v>
      </c>
      <c r="Y123" s="160">
        <v>74.344444444444449</v>
      </c>
      <c r="Z123" s="160">
        <v>60.572222222222223</v>
      </c>
      <c r="AA123" s="160">
        <v>58.894444444444446</v>
      </c>
      <c r="AB123" s="160">
        <v>0</v>
      </c>
      <c r="AC123" s="160">
        <v>0</v>
      </c>
      <c r="AD123" s="160">
        <v>0</v>
      </c>
      <c r="AE123" s="160">
        <v>0</v>
      </c>
      <c r="AF123" s="160">
        <v>477.4</v>
      </c>
      <c r="AG123" s="160">
        <v>119.46666666666667</v>
      </c>
      <c r="AH123" s="160">
        <v>0</v>
      </c>
      <c r="AI123" s="160">
        <v>675.39999999999986</v>
      </c>
      <c r="AJ123" s="160">
        <v>596.86666666666656</v>
      </c>
      <c r="AK123" s="160">
        <v>675.39999999999986</v>
      </c>
      <c r="AL123" s="161">
        <v>84.75</v>
      </c>
      <c r="AM123" s="161">
        <v>5.7111111111111112</v>
      </c>
      <c r="AN123" s="161">
        <v>90.461111111111109</v>
      </c>
      <c r="AO123" s="161">
        <v>681.11111111111097</v>
      </c>
      <c r="AP123" s="162">
        <v>78</v>
      </c>
      <c r="AQ123" s="168">
        <v>81</v>
      </c>
      <c r="AR123" s="160">
        <v>85</v>
      </c>
      <c r="AS123" s="160">
        <v>82</v>
      </c>
      <c r="AT123" s="160">
        <v>83</v>
      </c>
      <c r="AU123" s="160">
        <v>78</v>
      </c>
      <c r="AV123" s="160">
        <v>68</v>
      </c>
      <c r="AW123" s="160">
        <v>65</v>
      </c>
      <c r="AX123" s="160">
        <v>61</v>
      </c>
      <c r="AY123" s="160">
        <v>0</v>
      </c>
      <c r="AZ123" s="160">
        <v>0</v>
      </c>
      <c r="BA123" s="160">
        <v>0</v>
      </c>
      <c r="BB123" s="160">
        <v>0</v>
      </c>
      <c r="BC123" s="160">
        <v>477</v>
      </c>
      <c r="BD123" s="160">
        <v>126</v>
      </c>
      <c r="BE123" s="160">
        <v>0</v>
      </c>
      <c r="BF123" s="160">
        <v>681</v>
      </c>
      <c r="BG123" s="160">
        <v>603</v>
      </c>
      <c r="BH123" s="160">
        <v>681</v>
      </c>
      <c r="BI123" s="160">
        <v>0</v>
      </c>
      <c r="BJ123" s="160">
        <v>78</v>
      </c>
      <c r="BK123" s="160">
        <v>0</v>
      </c>
      <c r="BL123" s="160">
        <v>163</v>
      </c>
      <c r="BM123" s="160">
        <v>91</v>
      </c>
      <c r="BN123" s="162">
        <v>5</v>
      </c>
      <c r="BO123" s="162">
        <v>96</v>
      </c>
      <c r="BP123" s="162">
        <v>37</v>
      </c>
      <c r="BQ123" s="163">
        <v>6.5622513922036663E-2</v>
      </c>
      <c r="BR123" s="164">
        <v>42.534999999999997</v>
      </c>
      <c r="BS123" s="164">
        <v>39.534999999999997</v>
      </c>
      <c r="BT123" s="164">
        <v>38.534999999999997</v>
      </c>
      <c r="BU123" s="164">
        <v>43.534999999999997</v>
      </c>
      <c r="BV123" s="165">
        <v>0</v>
      </c>
      <c r="BW123" s="165">
        <v>0</v>
      </c>
      <c r="BX123" s="166">
        <v>0</v>
      </c>
      <c r="BY123" s="166">
        <v>75.977777000000003</v>
      </c>
      <c r="BZ123" s="166">
        <v>0</v>
      </c>
      <c r="CA123" s="166">
        <v>75.977777777777774</v>
      </c>
      <c r="CB123" s="166">
        <v>78.3</v>
      </c>
      <c r="CC123" s="166">
        <v>83.272222222222226</v>
      </c>
      <c r="CD123" s="166">
        <v>80.983333333333334</v>
      </c>
      <c r="CE123" s="166">
        <v>78.794444444444451</v>
      </c>
      <c r="CF123" s="166">
        <v>75.416666666666671</v>
      </c>
      <c r="CG123" s="166">
        <v>66.7</v>
      </c>
      <c r="CH123" s="166">
        <v>63.272222222222226</v>
      </c>
      <c r="CI123" s="166">
        <v>59.338888888888889</v>
      </c>
      <c r="CJ123" s="166">
        <v>0</v>
      </c>
      <c r="CK123" s="166">
        <v>0</v>
      </c>
      <c r="CL123" s="166">
        <v>0</v>
      </c>
      <c r="CM123" s="166">
        <v>0</v>
      </c>
      <c r="CN123" s="166">
        <v>463.4666666666667</v>
      </c>
      <c r="CO123" s="166">
        <v>122.61111111111111</v>
      </c>
      <c r="CP123" s="166">
        <v>0</v>
      </c>
      <c r="CQ123" s="166">
        <v>662.05555555555554</v>
      </c>
      <c r="CR123" s="166">
        <v>586.07777777777778</v>
      </c>
      <c r="CS123" s="166">
        <v>662.05555555555554</v>
      </c>
      <c r="CT123" s="166">
        <v>90.9722222222222</v>
      </c>
      <c r="CU123" s="166">
        <v>5</v>
      </c>
      <c r="CV123" s="166">
        <v>95.9722222222222</v>
      </c>
      <c r="CW123" s="166">
        <v>667.05555555555554</v>
      </c>
      <c r="CX123" s="166">
        <v>0</v>
      </c>
      <c r="CY123" s="166">
        <v>1</v>
      </c>
      <c r="CZ123" s="165">
        <v>78</v>
      </c>
      <c r="DA123" s="165">
        <v>79</v>
      </c>
      <c r="DB123" s="165">
        <v>75</v>
      </c>
      <c r="DC123" s="165">
        <v>80</v>
      </c>
      <c r="DD123" s="165">
        <v>83</v>
      </c>
      <c r="DE123" s="165">
        <v>84</v>
      </c>
      <c r="DF123" s="165">
        <v>74</v>
      </c>
      <c r="DG123" s="165">
        <v>82</v>
      </c>
      <c r="DH123" s="165">
        <v>64</v>
      </c>
      <c r="DI123" s="165">
        <v>62</v>
      </c>
      <c r="DJ123" s="165">
        <v>0</v>
      </c>
      <c r="DK123" s="165">
        <v>0</v>
      </c>
      <c r="DL123" s="165">
        <v>0</v>
      </c>
      <c r="DM123" s="165">
        <v>0</v>
      </c>
      <c r="DN123" s="165">
        <v>478</v>
      </c>
      <c r="DO123" s="165">
        <v>126</v>
      </c>
      <c r="DP123" s="165">
        <v>0</v>
      </c>
      <c r="DQ123" s="165">
        <v>683</v>
      </c>
      <c r="DR123" s="165">
        <v>604</v>
      </c>
      <c r="DS123" s="165">
        <v>683</v>
      </c>
      <c r="DT123" s="165">
        <v>0</v>
      </c>
      <c r="DU123" s="165">
        <v>159</v>
      </c>
      <c r="DV123" s="165">
        <v>95</v>
      </c>
      <c r="DW123" s="165">
        <v>4</v>
      </c>
      <c r="DX123" s="165">
        <v>99</v>
      </c>
      <c r="DY123" s="165">
        <v>687</v>
      </c>
      <c r="DZ123" s="165">
        <v>21</v>
      </c>
      <c r="EA123" s="166">
        <v>43.445</v>
      </c>
      <c r="EB123" s="166">
        <v>40.445</v>
      </c>
      <c r="EC123" s="166">
        <v>31.375</v>
      </c>
      <c r="ED123" s="166">
        <v>7.97</v>
      </c>
      <c r="EE123" s="166">
        <v>0</v>
      </c>
      <c r="EF123" s="166">
        <v>43.445</v>
      </c>
      <c r="EG123" s="167">
        <v>6.761137629276065E-2</v>
      </c>
      <c r="EH123" s="165"/>
      <c r="EI123" s="165">
        <v>77</v>
      </c>
      <c r="EJ123" s="165">
        <v>603</v>
      </c>
      <c r="EK123" s="165">
        <v>477</v>
      </c>
      <c r="EL123" s="165">
        <v>126</v>
      </c>
      <c r="EM123" s="165">
        <v>0</v>
      </c>
      <c r="EN123" s="165">
        <v>680</v>
      </c>
      <c r="EO123" s="165">
        <v>0</v>
      </c>
      <c r="EP123" s="165">
        <v>100</v>
      </c>
      <c r="EQ123" s="165">
        <v>100</v>
      </c>
      <c r="ER123" s="165">
        <v>96</v>
      </c>
      <c r="ES123" s="165">
        <v>4</v>
      </c>
      <c r="ET123" s="165">
        <v>1</v>
      </c>
      <c r="EU123" s="166">
        <v>18.28</v>
      </c>
      <c r="EV123" s="166">
        <v>0.5</v>
      </c>
      <c r="EW123" s="166">
        <v>4.5</v>
      </c>
      <c r="EX123" s="166">
        <v>0</v>
      </c>
      <c r="EY123" s="166">
        <v>5.86</v>
      </c>
      <c r="EZ123" s="166">
        <v>29.14</v>
      </c>
      <c r="FA123" s="166">
        <v>76.666666666666671</v>
      </c>
      <c r="FB123" s="166">
        <v>1.3055555555555556</v>
      </c>
      <c r="FC123" s="166">
        <v>77.972222222222229</v>
      </c>
      <c r="FD123" s="166">
        <v>72.533333333333331</v>
      </c>
      <c r="FE123" s="166">
        <v>79.083333333333329</v>
      </c>
      <c r="FF123" s="166">
        <v>82.36666666666666</v>
      </c>
      <c r="FG123" s="166">
        <v>81.45</v>
      </c>
      <c r="FH123" s="166">
        <v>72.477777777777774</v>
      </c>
      <c r="FI123" s="166">
        <v>79.927777777777777</v>
      </c>
      <c r="FJ123" s="166">
        <v>62.744444444444447</v>
      </c>
      <c r="FK123" s="166">
        <v>61.611111111111114</v>
      </c>
      <c r="FL123" s="166">
        <v>0</v>
      </c>
      <c r="FM123" s="166">
        <v>0</v>
      </c>
      <c r="FN123" s="166">
        <v>0</v>
      </c>
      <c r="FO123" s="166">
        <v>0</v>
      </c>
      <c r="FP123" s="166">
        <v>467.83888888888885</v>
      </c>
      <c r="FQ123" s="166">
        <v>124.35555555555555</v>
      </c>
      <c r="FR123" s="166">
        <v>0</v>
      </c>
      <c r="FS123" s="166">
        <v>670.16666666666663</v>
      </c>
      <c r="FT123" s="166">
        <v>592.19444444444434</v>
      </c>
      <c r="FU123" s="166">
        <v>670.16666666666663</v>
      </c>
      <c r="FV123" s="166">
        <v>97.288888888888891</v>
      </c>
      <c r="FW123" s="166">
        <v>4.1888888888888891</v>
      </c>
      <c r="FX123" s="166">
        <v>101.47777777777777</v>
      </c>
      <c r="FY123" s="166">
        <v>674.3555555555555</v>
      </c>
      <c r="FZ123" s="165">
        <v>79</v>
      </c>
      <c r="GA123" s="165">
        <v>0</v>
      </c>
      <c r="GB123" s="165">
        <v>79</v>
      </c>
      <c r="GC123" s="165">
        <v>79</v>
      </c>
      <c r="GD123" s="165">
        <v>74</v>
      </c>
      <c r="GE123" s="165">
        <v>81</v>
      </c>
      <c r="GF123" s="165">
        <v>83</v>
      </c>
      <c r="GG123" s="165">
        <v>82</v>
      </c>
      <c r="GH123" s="165">
        <v>71</v>
      </c>
      <c r="GI123" s="165">
        <v>77</v>
      </c>
      <c r="GJ123" s="165">
        <v>49</v>
      </c>
      <c r="GK123" s="165">
        <v>0</v>
      </c>
      <c r="GL123" s="165">
        <v>0</v>
      </c>
      <c r="GM123" s="165">
        <v>0</v>
      </c>
      <c r="GN123" s="165">
        <v>0</v>
      </c>
      <c r="GO123" s="165">
        <v>470</v>
      </c>
      <c r="GP123" s="165">
        <v>126</v>
      </c>
      <c r="GQ123" s="165">
        <v>0</v>
      </c>
      <c r="GR123" s="165">
        <v>675</v>
      </c>
      <c r="GS123" s="165">
        <v>596</v>
      </c>
      <c r="GT123" s="165">
        <v>675</v>
      </c>
      <c r="GU123" s="165">
        <v>0</v>
      </c>
      <c r="GV123" s="165">
        <v>165</v>
      </c>
      <c r="GW123" s="165">
        <v>93</v>
      </c>
      <c r="GX123" s="165">
        <v>4</v>
      </c>
      <c r="GY123" s="165">
        <v>97</v>
      </c>
      <c r="GZ123" s="165">
        <v>679</v>
      </c>
      <c r="HA123" s="165">
        <v>22</v>
      </c>
      <c r="HB123" s="166">
        <v>43.534999999999997</v>
      </c>
      <c r="HC123" s="166">
        <v>40.534999999999997</v>
      </c>
      <c r="HD123" s="166">
        <v>31.394999999999996</v>
      </c>
      <c r="HE123" s="166">
        <v>7.97</v>
      </c>
      <c r="HF123" s="166"/>
      <c r="HG123" s="166">
        <v>43.534999999999997</v>
      </c>
      <c r="HH123" s="166">
        <v>0</v>
      </c>
      <c r="HI123" s="166">
        <v>95</v>
      </c>
      <c r="HJ123" s="166">
        <v>95</v>
      </c>
      <c r="HK123" s="166">
        <v>92</v>
      </c>
      <c r="HL123" s="166">
        <v>3</v>
      </c>
      <c r="HM123" s="166">
        <v>11</v>
      </c>
      <c r="HN123" s="166">
        <v>79</v>
      </c>
      <c r="HO123" s="166">
        <v>604</v>
      </c>
      <c r="HP123" s="166">
        <v>478</v>
      </c>
      <c r="HQ123" s="166">
        <v>126</v>
      </c>
      <c r="HR123" s="166">
        <v>0</v>
      </c>
      <c r="HS123" s="166">
        <v>683</v>
      </c>
      <c r="HT123" s="166">
        <f>FY26_FE_Data_April15[[#This Row],[Oct 1, 2026 (CDC) - K]]+FY26_FE_Data_April15[[#This Row],[Oct 1, 2026 (CDC) - Grades 1-6]]+FY26_FE_Data_April15[[#This Row],[Oct 1, 2026 (CDC) - Grades 7-8]]</f>
        <v>683</v>
      </c>
      <c r="HU123" s="166">
        <v>0</v>
      </c>
      <c r="HW123" s="170"/>
      <c r="HY123" s="170"/>
    </row>
    <row r="124" spans="1:233" ht="26">
      <c r="A124" s="158" t="s">
        <v>584</v>
      </c>
      <c r="B124" s="159" t="s">
        <v>585</v>
      </c>
      <c r="C124" s="160" t="s">
        <v>586</v>
      </c>
      <c r="D124" s="160" t="s">
        <v>139</v>
      </c>
      <c r="E124" s="159" t="s">
        <v>784</v>
      </c>
      <c r="F124" s="159" t="s">
        <v>784</v>
      </c>
      <c r="G124" s="159"/>
      <c r="H124" s="161">
        <v>103.31111111111112</v>
      </c>
      <c r="I124" s="161">
        <v>1.7166666666666666</v>
      </c>
      <c r="J124" s="161">
        <v>105.02777777777779</v>
      </c>
      <c r="K124" s="162">
        <v>157</v>
      </c>
      <c r="L124" s="162">
        <v>770</v>
      </c>
      <c r="M124" s="162">
        <v>156</v>
      </c>
      <c r="N124" s="162">
        <v>0</v>
      </c>
      <c r="O124" s="162">
        <v>1083</v>
      </c>
      <c r="P124" s="162">
        <v>926</v>
      </c>
      <c r="Q124" s="162">
        <v>1083</v>
      </c>
      <c r="R124" s="162">
        <v>3</v>
      </c>
      <c r="S124" s="160">
        <v>153.10555555555555</v>
      </c>
      <c r="T124" s="160">
        <v>155.22222222222223</v>
      </c>
      <c r="U124" s="160">
        <v>145.65</v>
      </c>
      <c r="V124" s="160">
        <v>124.6</v>
      </c>
      <c r="W124" s="160">
        <v>129.79444444444445</v>
      </c>
      <c r="X124" s="160">
        <v>99.888888888888886</v>
      </c>
      <c r="Y124" s="160">
        <v>100.57777777777778</v>
      </c>
      <c r="Z124" s="160">
        <v>74.477777777777774</v>
      </c>
      <c r="AA124" s="160">
        <v>76.333333333333329</v>
      </c>
      <c r="AB124" s="160">
        <v>0</v>
      </c>
      <c r="AC124" s="160">
        <v>0</v>
      </c>
      <c r="AD124" s="160">
        <v>0</v>
      </c>
      <c r="AE124" s="160">
        <v>0</v>
      </c>
      <c r="AF124" s="160">
        <v>755.73333333333346</v>
      </c>
      <c r="AG124" s="160">
        <v>150.8111111111111</v>
      </c>
      <c r="AH124" s="160">
        <v>0</v>
      </c>
      <c r="AI124" s="160">
        <v>1059.6500000000001</v>
      </c>
      <c r="AJ124" s="160">
        <v>906.54444444444459</v>
      </c>
      <c r="AK124" s="160">
        <v>1059.6500000000001</v>
      </c>
      <c r="AL124" s="161">
        <v>144.12777777777777</v>
      </c>
      <c r="AM124" s="161">
        <v>1.6333333333333333</v>
      </c>
      <c r="AN124" s="161">
        <v>145.76111111111109</v>
      </c>
      <c r="AO124" s="161">
        <v>1061.2833333333335</v>
      </c>
      <c r="AP124" s="162">
        <v>154</v>
      </c>
      <c r="AQ124" s="168">
        <v>161</v>
      </c>
      <c r="AR124" s="160">
        <v>149</v>
      </c>
      <c r="AS124" s="160">
        <v>146</v>
      </c>
      <c r="AT124" s="160">
        <v>135</v>
      </c>
      <c r="AU124" s="160">
        <v>129</v>
      </c>
      <c r="AV124" s="160">
        <v>99</v>
      </c>
      <c r="AW124" s="160">
        <v>77</v>
      </c>
      <c r="AX124" s="160">
        <v>66</v>
      </c>
      <c r="AY124" s="160">
        <v>0</v>
      </c>
      <c r="AZ124" s="160">
        <v>0</v>
      </c>
      <c r="BA124" s="160">
        <v>0</v>
      </c>
      <c r="BB124" s="160">
        <v>0</v>
      </c>
      <c r="BC124" s="160">
        <v>819</v>
      </c>
      <c r="BD124" s="160">
        <v>143</v>
      </c>
      <c r="BE124" s="160">
        <v>0</v>
      </c>
      <c r="BF124" s="160">
        <v>1116</v>
      </c>
      <c r="BG124" s="160">
        <v>962</v>
      </c>
      <c r="BH124" s="160">
        <v>1116</v>
      </c>
      <c r="BI124" s="160">
        <v>150</v>
      </c>
      <c r="BJ124" s="160">
        <v>4</v>
      </c>
      <c r="BK124" s="160">
        <v>0</v>
      </c>
      <c r="BL124" s="160">
        <v>374</v>
      </c>
      <c r="BM124" s="160">
        <v>140</v>
      </c>
      <c r="BN124" s="162">
        <v>2</v>
      </c>
      <c r="BO124" s="162">
        <v>142</v>
      </c>
      <c r="BP124" s="162">
        <v>235</v>
      </c>
      <c r="BQ124" s="163">
        <v>6.3673709956557079E-2</v>
      </c>
      <c r="BR124" s="164">
        <v>55.984000000000009</v>
      </c>
      <c r="BS124" s="164">
        <v>52.25</v>
      </c>
      <c r="BT124" s="164">
        <v>51.25</v>
      </c>
      <c r="BU124" s="164">
        <v>56.984000000000002</v>
      </c>
      <c r="BV124" s="165">
        <v>0</v>
      </c>
      <c r="BW124" s="165">
        <v>0</v>
      </c>
      <c r="BX124" s="166">
        <v>0</v>
      </c>
      <c r="BY124" s="166">
        <v>3.3611110000000002</v>
      </c>
      <c r="BZ124" s="166">
        <v>147.5</v>
      </c>
      <c r="CA124" s="166">
        <v>150.86111111111111</v>
      </c>
      <c r="CB124" s="166">
        <v>154.3388888888889</v>
      </c>
      <c r="CC124" s="166">
        <v>147.81666666666666</v>
      </c>
      <c r="CD124" s="166">
        <v>144.25555555555556</v>
      </c>
      <c r="CE124" s="166">
        <v>129.71111111111111</v>
      </c>
      <c r="CF124" s="166">
        <v>123.22222222222223</v>
      </c>
      <c r="CG124" s="166">
        <v>99.011111111111106</v>
      </c>
      <c r="CH124" s="166">
        <v>76.738888888888894</v>
      </c>
      <c r="CI124" s="166">
        <v>66.577777777777783</v>
      </c>
      <c r="CJ124" s="166">
        <v>0</v>
      </c>
      <c r="CK124" s="166">
        <v>0</v>
      </c>
      <c r="CL124" s="166">
        <v>0</v>
      </c>
      <c r="CM124" s="166">
        <v>0</v>
      </c>
      <c r="CN124" s="166">
        <v>798.3555555555555</v>
      </c>
      <c r="CO124" s="166">
        <v>143.31666666666666</v>
      </c>
      <c r="CP124" s="166">
        <v>0</v>
      </c>
      <c r="CQ124" s="166">
        <v>1092.5333333333333</v>
      </c>
      <c r="CR124" s="166">
        <v>941.67222222222222</v>
      </c>
      <c r="CS124" s="166">
        <v>1092.5333333333333</v>
      </c>
      <c r="CT124" s="166">
        <v>154.18888888888901</v>
      </c>
      <c r="CU124" s="166">
        <v>4.2333333333333298</v>
      </c>
      <c r="CV124" s="166">
        <v>158.42222222222233</v>
      </c>
      <c r="CW124" s="166">
        <v>1096.7666666666667</v>
      </c>
      <c r="CX124" s="166">
        <v>0</v>
      </c>
      <c r="CY124" s="166">
        <v>158</v>
      </c>
      <c r="CZ124" s="165">
        <v>0</v>
      </c>
      <c r="DA124" s="165">
        <v>158</v>
      </c>
      <c r="DB124" s="165">
        <v>153</v>
      </c>
      <c r="DC124" s="165">
        <v>144</v>
      </c>
      <c r="DD124" s="165">
        <v>150</v>
      </c>
      <c r="DE124" s="165">
        <v>134</v>
      </c>
      <c r="DF124" s="165">
        <v>133</v>
      </c>
      <c r="DG124" s="165">
        <v>118</v>
      </c>
      <c r="DH124" s="165">
        <v>74</v>
      </c>
      <c r="DI124" s="165">
        <v>68</v>
      </c>
      <c r="DJ124" s="165">
        <v>0</v>
      </c>
      <c r="DK124" s="165">
        <v>0</v>
      </c>
      <c r="DL124" s="165">
        <v>0</v>
      </c>
      <c r="DM124" s="165">
        <v>0</v>
      </c>
      <c r="DN124" s="165">
        <v>832</v>
      </c>
      <c r="DO124" s="165">
        <v>142</v>
      </c>
      <c r="DP124" s="165">
        <v>0</v>
      </c>
      <c r="DQ124" s="165">
        <v>1132</v>
      </c>
      <c r="DR124" s="165">
        <v>974</v>
      </c>
      <c r="DS124" s="165">
        <v>1132</v>
      </c>
      <c r="DT124" s="165">
        <v>0</v>
      </c>
      <c r="DU124" s="165">
        <v>539</v>
      </c>
      <c r="DV124" s="165">
        <v>150</v>
      </c>
      <c r="DW124" s="165">
        <v>6</v>
      </c>
      <c r="DX124" s="165">
        <v>156</v>
      </c>
      <c r="DY124" s="165">
        <v>1138</v>
      </c>
      <c r="DZ124" s="165">
        <v>240</v>
      </c>
      <c r="EA124" s="166">
        <v>66.19</v>
      </c>
      <c r="EB124" s="166">
        <v>63.190000000000005</v>
      </c>
      <c r="EC124" s="166">
        <v>50.185000000000002</v>
      </c>
      <c r="ED124" s="166">
        <v>9.91</v>
      </c>
      <c r="EE124" s="166">
        <v>0</v>
      </c>
      <c r="EF124" s="166">
        <v>68.19</v>
      </c>
      <c r="EG124" s="167">
        <v>6.4815607559614463E-2</v>
      </c>
      <c r="EH124" s="165"/>
      <c r="EI124" s="165">
        <v>146</v>
      </c>
      <c r="EJ124" s="165">
        <v>975</v>
      </c>
      <c r="EK124" s="165">
        <v>829</v>
      </c>
      <c r="EL124" s="165">
        <v>146</v>
      </c>
      <c r="EM124" s="165">
        <v>0</v>
      </c>
      <c r="EN124" s="165">
        <v>1121</v>
      </c>
      <c r="EO124" s="165">
        <v>0</v>
      </c>
      <c r="EP124" s="165">
        <v>168</v>
      </c>
      <c r="EQ124" s="165">
        <v>168</v>
      </c>
      <c r="ER124" s="165">
        <v>161</v>
      </c>
      <c r="ES124" s="165">
        <v>7</v>
      </c>
      <c r="ET124" s="165">
        <v>4</v>
      </c>
      <c r="EU124" s="166">
        <v>23.32</v>
      </c>
      <c r="EV124" s="166">
        <v>1.2150000000000001</v>
      </c>
      <c r="EW124" s="166">
        <v>5.4809999999999999</v>
      </c>
      <c r="EX124" s="166">
        <v>1.109</v>
      </c>
      <c r="EY124" s="166">
        <v>8.3369999999999997</v>
      </c>
      <c r="EZ124" s="166">
        <v>39.462000000000003</v>
      </c>
      <c r="FA124" s="166">
        <v>0</v>
      </c>
      <c r="FB124" s="166">
        <v>153.61666666666667</v>
      </c>
      <c r="FC124" s="166">
        <v>153.61666666666667</v>
      </c>
      <c r="FD124" s="166">
        <v>154.84444444444443</v>
      </c>
      <c r="FE124" s="166">
        <v>144.36111111111111</v>
      </c>
      <c r="FF124" s="166">
        <v>149.6888888888889</v>
      </c>
      <c r="FG124" s="166">
        <v>131.47222222222223</v>
      </c>
      <c r="FH124" s="166">
        <v>129.74444444444444</v>
      </c>
      <c r="FI124" s="166">
        <v>117.60555555555555</v>
      </c>
      <c r="FJ124" s="166">
        <v>74.788888888888891</v>
      </c>
      <c r="FK124" s="166">
        <v>67.672222222222217</v>
      </c>
      <c r="FL124" s="166">
        <v>0</v>
      </c>
      <c r="FM124" s="166">
        <v>0</v>
      </c>
      <c r="FN124" s="166">
        <v>0</v>
      </c>
      <c r="FO124" s="166">
        <v>0</v>
      </c>
      <c r="FP124" s="166">
        <v>827.71666666666647</v>
      </c>
      <c r="FQ124" s="166">
        <v>142.46111111111111</v>
      </c>
      <c r="FR124" s="166">
        <v>0</v>
      </c>
      <c r="FS124" s="166">
        <v>1123.7944444444445</v>
      </c>
      <c r="FT124" s="166">
        <v>970.17777777777758</v>
      </c>
      <c r="FU124" s="166">
        <v>1123.7944444444445</v>
      </c>
      <c r="FV124" s="166">
        <v>160.68333333333334</v>
      </c>
      <c r="FW124" s="166">
        <v>7.3277777777777775</v>
      </c>
      <c r="FX124" s="166">
        <v>168.01111111111112</v>
      </c>
      <c r="FY124" s="166">
        <v>1131.1222222222223</v>
      </c>
      <c r="FZ124" s="165">
        <v>0</v>
      </c>
      <c r="GA124" s="165">
        <v>154</v>
      </c>
      <c r="GB124" s="165">
        <v>154</v>
      </c>
      <c r="GC124" s="165">
        <v>158</v>
      </c>
      <c r="GD124" s="165">
        <v>159</v>
      </c>
      <c r="GE124" s="165">
        <v>142</v>
      </c>
      <c r="GF124" s="165">
        <v>141</v>
      </c>
      <c r="GG124" s="165">
        <v>142</v>
      </c>
      <c r="GH124" s="165">
        <v>123</v>
      </c>
      <c r="GI124" s="165">
        <v>75</v>
      </c>
      <c r="GJ124" s="165">
        <v>72</v>
      </c>
      <c r="GK124" s="165">
        <v>0</v>
      </c>
      <c r="GL124" s="165">
        <v>0</v>
      </c>
      <c r="GM124" s="165">
        <v>0</v>
      </c>
      <c r="GN124" s="165">
        <v>0</v>
      </c>
      <c r="GO124" s="165">
        <v>865</v>
      </c>
      <c r="GP124" s="165">
        <v>147</v>
      </c>
      <c r="GQ124" s="165">
        <v>0</v>
      </c>
      <c r="GR124" s="165">
        <v>1166</v>
      </c>
      <c r="GS124" s="165">
        <v>1012</v>
      </c>
      <c r="GT124" s="165">
        <v>1166</v>
      </c>
      <c r="GU124" s="165">
        <v>0</v>
      </c>
      <c r="GV124" s="165">
        <v>538</v>
      </c>
      <c r="GW124" s="165">
        <v>152</v>
      </c>
      <c r="GX124" s="165">
        <v>8</v>
      </c>
      <c r="GY124" s="165">
        <v>160</v>
      </c>
      <c r="GZ124" s="165">
        <v>1174</v>
      </c>
      <c r="HA124" s="165">
        <v>218</v>
      </c>
      <c r="HB124" s="166">
        <v>67.784999999999997</v>
      </c>
      <c r="HC124" s="166">
        <v>63.784999999999997</v>
      </c>
      <c r="HD124" s="166">
        <v>49.190999999999995</v>
      </c>
      <c r="HE124" s="166">
        <v>11.994</v>
      </c>
      <c r="HF124" s="166"/>
      <c r="HG124" s="166">
        <v>69.784999999999997</v>
      </c>
      <c r="HH124" s="166">
        <v>0</v>
      </c>
      <c r="HI124" s="166">
        <v>177</v>
      </c>
      <c r="HJ124" s="166">
        <v>177</v>
      </c>
      <c r="HK124" s="166">
        <v>171</v>
      </c>
      <c r="HL124" s="166">
        <v>6</v>
      </c>
      <c r="HM124" s="166">
        <v>5</v>
      </c>
      <c r="HN124" s="166">
        <v>140</v>
      </c>
      <c r="HO124" s="166">
        <v>1124</v>
      </c>
      <c r="HP124" s="166">
        <v>844</v>
      </c>
      <c r="HQ124" s="166">
        <v>280</v>
      </c>
      <c r="HR124" s="166">
        <v>0</v>
      </c>
      <c r="HS124" s="166">
        <v>1264</v>
      </c>
      <c r="HT124" s="166">
        <f>FY26_FE_Data_April15[[#This Row],[Oct 1, 2026 (CDC) - K]]+FY26_FE_Data_April15[[#This Row],[Oct 1, 2026 (CDC) - Grades 1-6]]+FY26_FE_Data_April15[[#This Row],[Oct 1, 2026 (CDC) - Grades 7-8]]</f>
        <v>1264</v>
      </c>
      <c r="HU124" s="166">
        <v>0</v>
      </c>
      <c r="HW124" s="170"/>
      <c r="HY124" s="170"/>
    </row>
    <row r="125" spans="1:233" ht="52">
      <c r="A125" s="158" t="s">
        <v>587</v>
      </c>
      <c r="B125" s="159" t="s">
        <v>588</v>
      </c>
      <c r="C125" s="160" t="s">
        <v>589</v>
      </c>
      <c r="D125" s="160" t="s">
        <v>139</v>
      </c>
      <c r="E125" s="159" t="s">
        <v>785</v>
      </c>
      <c r="F125" s="159" t="s">
        <v>785</v>
      </c>
      <c r="G125" s="159" t="s">
        <v>785</v>
      </c>
      <c r="H125" s="161">
        <v>14.511111111111111</v>
      </c>
      <c r="I125" s="161">
        <v>0</v>
      </c>
      <c r="J125" s="161">
        <v>14.511111111111111</v>
      </c>
      <c r="K125" s="162">
        <v>0</v>
      </c>
      <c r="L125" s="162">
        <v>0</v>
      </c>
      <c r="M125" s="162">
        <v>0</v>
      </c>
      <c r="N125" s="162">
        <v>202</v>
      </c>
      <c r="O125" s="162">
        <v>202</v>
      </c>
      <c r="P125" s="162">
        <v>202</v>
      </c>
      <c r="Q125" s="162">
        <v>0</v>
      </c>
      <c r="R125" s="162">
        <v>0</v>
      </c>
      <c r="S125" s="160">
        <v>0</v>
      </c>
      <c r="T125" s="160">
        <v>0</v>
      </c>
      <c r="U125" s="160">
        <v>0</v>
      </c>
      <c r="V125" s="160">
        <v>0</v>
      </c>
      <c r="W125" s="160">
        <v>0</v>
      </c>
      <c r="X125" s="160">
        <v>0</v>
      </c>
      <c r="Y125" s="160">
        <v>0</v>
      </c>
      <c r="Z125" s="160">
        <v>0</v>
      </c>
      <c r="AA125" s="160">
        <v>0</v>
      </c>
      <c r="AB125" s="160">
        <v>52.072222222222223</v>
      </c>
      <c r="AC125" s="160">
        <v>52.427777777777777</v>
      </c>
      <c r="AD125" s="160">
        <v>46.18888888888889</v>
      </c>
      <c r="AE125" s="160">
        <v>44.35</v>
      </c>
      <c r="AF125" s="160">
        <v>0</v>
      </c>
      <c r="AG125" s="160">
        <v>0</v>
      </c>
      <c r="AH125" s="160">
        <v>195.03888888888889</v>
      </c>
      <c r="AI125" s="160">
        <v>0</v>
      </c>
      <c r="AJ125" s="160">
        <v>195.03888888888889</v>
      </c>
      <c r="AK125" s="160">
        <v>195.03888888888889</v>
      </c>
      <c r="AL125" s="161">
        <v>19.005555555555556</v>
      </c>
      <c r="AM125" s="161">
        <v>0</v>
      </c>
      <c r="AN125" s="161">
        <v>19.005555555555556</v>
      </c>
      <c r="AO125" s="161">
        <v>195.03888888888889</v>
      </c>
      <c r="AP125" s="162">
        <v>0</v>
      </c>
      <c r="AQ125" s="168">
        <v>0</v>
      </c>
      <c r="AR125" s="160">
        <v>0</v>
      </c>
      <c r="AS125" s="160">
        <v>0</v>
      </c>
      <c r="AT125" s="160">
        <v>0</v>
      </c>
      <c r="AU125" s="160">
        <v>0</v>
      </c>
      <c r="AV125" s="160">
        <v>0</v>
      </c>
      <c r="AW125" s="160">
        <v>0</v>
      </c>
      <c r="AX125" s="160">
        <v>0</v>
      </c>
      <c r="AY125" s="160">
        <v>37</v>
      </c>
      <c r="AZ125" s="160">
        <v>42</v>
      </c>
      <c r="BA125" s="160">
        <v>47</v>
      </c>
      <c r="BB125" s="160">
        <v>38</v>
      </c>
      <c r="BC125" s="160">
        <v>0</v>
      </c>
      <c r="BD125" s="160">
        <v>0</v>
      </c>
      <c r="BE125" s="160">
        <v>164</v>
      </c>
      <c r="BF125" s="160">
        <v>0</v>
      </c>
      <c r="BG125" s="160">
        <v>164</v>
      </c>
      <c r="BH125" s="160">
        <v>164</v>
      </c>
      <c r="BI125" s="160">
        <v>0</v>
      </c>
      <c r="BJ125" s="160">
        <v>0</v>
      </c>
      <c r="BK125" s="160">
        <v>0</v>
      </c>
      <c r="BL125" s="160">
        <v>22</v>
      </c>
      <c r="BM125" s="160">
        <v>13</v>
      </c>
      <c r="BN125" s="162">
        <v>0</v>
      </c>
      <c r="BO125" s="162">
        <v>13</v>
      </c>
      <c r="BP125" s="162">
        <v>0</v>
      </c>
      <c r="BQ125" s="163">
        <v>8.5499999999999965E-2</v>
      </c>
      <c r="BR125" s="164">
        <v>15.713000000000001</v>
      </c>
      <c r="BS125" s="164">
        <v>13.879999999999999</v>
      </c>
      <c r="BT125" s="164">
        <v>13.879999999999999</v>
      </c>
      <c r="BU125" s="164">
        <v>15.713000000000001</v>
      </c>
      <c r="BV125" s="165">
        <v>0</v>
      </c>
      <c r="BW125" s="165">
        <v>0</v>
      </c>
      <c r="BX125" s="166">
        <v>0</v>
      </c>
      <c r="BY125" s="166">
        <v>0</v>
      </c>
      <c r="BZ125" s="166">
        <v>0</v>
      </c>
      <c r="CA125" s="166">
        <v>0</v>
      </c>
      <c r="CB125" s="166">
        <v>0</v>
      </c>
      <c r="CC125" s="166">
        <v>0</v>
      </c>
      <c r="CD125" s="166">
        <v>0</v>
      </c>
      <c r="CE125" s="166">
        <v>0</v>
      </c>
      <c r="CF125" s="166">
        <v>0</v>
      </c>
      <c r="CG125" s="166">
        <v>0</v>
      </c>
      <c r="CH125" s="166">
        <v>0</v>
      </c>
      <c r="CI125" s="166">
        <v>0</v>
      </c>
      <c r="CJ125" s="166">
        <v>34.805555555555557</v>
      </c>
      <c r="CK125" s="166">
        <v>41.844444444444441</v>
      </c>
      <c r="CL125" s="166">
        <v>42.094444444444441</v>
      </c>
      <c r="CM125" s="166">
        <v>35.700000000000003</v>
      </c>
      <c r="CN125" s="166">
        <v>0</v>
      </c>
      <c r="CO125" s="166">
        <v>0</v>
      </c>
      <c r="CP125" s="166">
        <v>154.44444444444446</v>
      </c>
      <c r="CQ125" s="166">
        <v>0</v>
      </c>
      <c r="CR125" s="166">
        <v>154.44444444444446</v>
      </c>
      <c r="CS125" s="166">
        <v>154.44444444444446</v>
      </c>
      <c r="CT125" s="166">
        <v>13.3555555555556</v>
      </c>
      <c r="CU125" s="166">
        <v>0</v>
      </c>
      <c r="CV125" s="166">
        <v>13.3555555555556</v>
      </c>
      <c r="CW125" s="166">
        <v>154.44444444444446</v>
      </c>
      <c r="CX125" s="166">
        <v>0</v>
      </c>
      <c r="CY125" s="166">
        <v>0</v>
      </c>
      <c r="CZ125" s="165">
        <v>0</v>
      </c>
      <c r="DA125" s="165">
        <v>0</v>
      </c>
      <c r="DB125" s="165">
        <v>0</v>
      </c>
      <c r="DC125" s="165">
        <v>0</v>
      </c>
      <c r="DD125" s="165">
        <v>0</v>
      </c>
      <c r="DE125" s="165">
        <v>0</v>
      </c>
      <c r="DF125" s="165">
        <v>0</v>
      </c>
      <c r="DG125" s="165">
        <v>0</v>
      </c>
      <c r="DH125" s="165">
        <v>0</v>
      </c>
      <c r="DI125" s="165">
        <v>0</v>
      </c>
      <c r="DJ125" s="165">
        <v>0</v>
      </c>
      <c r="DK125" s="165">
        <v>0</v>
      </c>
      <c r="DL125" s="165">
        <v>0</v>
      </c>
      <c r="DM125" s="165">
        <v>0</v>
      </c>
      <c r="DN125" s="165">
        <v>0</v>
      </c>
      <c r="DO125" s="165">
        <v>0</v>
      </c>
      <c r="DP125" s="165">
        <v>0</v>
      </c>
      <c r="DQ125" s="165">
        <v>0</v>
      </c>
      <c r="DR125" s="165">
        <v>0</v>
      </c>
      <c r="DS125" s="165">
        <v>0</v>
      </c>
      <c r="DT125" s="165">
        <v>0</v>
      </c>
      <c r="DU125" s="165">
        <v>0</v>
      </c>
      <c r="DV125" s="165">
        <v>0</v>
      </c>
      <c r="DW125" s="165">
        <v>0</v>
      </c>
      <c r="DX125" s="165">
        <v>0</v>
      </c>
      <c r="DY125" s="165">
        <v>0</v>
      </c>
      <c r="DZ125" s="165">
        <v>0</v>
      </c>
      <c r="EA125" s="166">
        <v>0</v>
      </c>
      <c r="EB125" s="166">
        <v>0</v>
      </c>
      <c r="EC125" s="166">
        <v>0</v>
      </c>
      <c r="ED125" s="166">
        <v>0</v>
      </c>
      <c r="EE125" s="166">
        <v>0</v>
      </c>
      <c r="EF125" s="166">
        <v>0</v>
      </c>
      <c r="EG125" s="167">
        <v>9.6322685961351795E-2</v>
      </c>
      <c r="EH125" s="165"/>
      <c r="EI125" s="165">
        <v>0</v>
      </c>
      <c r="EJ125" s="165">
        <v>0</v>
      </c>
      <c r="EK125" s="165">
        <v>0</v>
      </c>
      <c r="EL125" s="165">
        <v>0</v>
      </c>
      <c r="EM125" s="165">
        <v>0</v>
      </c>
      <c r="EN125" s="165">
        <v>0</v>
      </c>
      <c r="EO125" s="165">
        <v>0</v>
      </c>
      <c r="EP125" s="165">
        <v>0</v>
      </c>
      <c r="EQ125" s="165">
        <v>0</v>
      </c>
      <c r="ER125" s="165">
        <v>0</v>
      </c>
      <c r="ES125" s="165">
        <v>0</v>
      </c>
      <c r="ET125" s="165">
        <v>0</v>
      </c>
      <c r="EU125" s="166">
        <v>2.25</v>
      </c>
      <c r="EV125" s="166">
        <v>0</v>
      </c>
      <c r="EW125" s="166">
        <v>3</v>
      </c>
      <c r="EX125" s="166">
        <v>0.75</v>
      </c>
      <c r="EY125" s="166">
        <v>1.5</v>
      </c>
      <c r="EZ125" s="166">
        <v>7.5</v>
      </c>
      <c r="FA125" s="166">
        <v>0</v>
      </c>
      <c r="FB125" s="166">
        <v>0</v>
      </c>
      <c r="FC125" s="166">
        <v>0</v>
      </c>
      <c r="FD125" s="166">
        <v>0</v>
      </c>
      <c r="FE125" s="166">
        <v>0</v>
      </c>
      <c r="FF125" s="166">
        <v>0</v>
      </c>
      <c r="FG125" s="166">
        <v>0</v>
      </c>
      <c r="FH125" s="166">
        <v>0</v>
      </c>
      <c r="FI125" s="166">
        <v>0</v>
      </c>
      <c r="FJ125" s="166">
        <v>0</v>
      </c>
      <c r="FK125" s="166">
        <v>0</v>
      </c>
      <c r="FL125" s="166">
        <v>0</v>
      </c>
      <c r="FM125" s="166">
        <v>0</v>
      </c>
      <c r="FN125" s="166">
        <v>0</v>
      </c>
      <c r="FO125" s="166">
        <v>0</v>
      </c>
      <c r="FP125" s="166">
        <v>0</v>
      </c>
      <c r="FQ125" s="166">
        <v>0</v>
      </c>
      <c r="FR125" s="166">
        <v>0</v>
      </c>
      <c r="FS125" s="166">
        <v>0</v>
      </c>
      <c r="FT125" s="166">
        <v>0</v>
      </c>
      <c r="FU125" s="166">
        <v>0</v>
      </c>
      <c r="FV125" s="166">
        <v>0</v>
      </c>
      <c r="FW125" s="166">
        <v>0</v>
      </c>
      <c r="FX125" s="166">
        <v>0</v>
      </c>
      <c r="FY125" s="166">
        <v>0</v>
      </c>
      <c r="FZ125" s="165">
        <v>0</v>
      </c>
      <c r="GA125" s="165">
        <v>0</v>
      </c>
      <c r="GB125" s="165">
        <v>0</v>
      </c>
      <c r="GC125" s="165">
        <v>0</v>
      </c>
      <c r="GD125" s="165">
        <v>0</v>
      </c>
      <c r="GE125" s="165">
        <v>0</v>
      </c>
      <c r="GF125" s="165">
        <v>0</v>
      </c>
      <c r="GG125" s="165">
        <v>0</v>
      </c>
      <c r="GH125" s="165">
        <v>0</v>
      </c>
      <c r="GI125" s="165">
        <v>0</v>
      </c>
      <c r="GJ125" s="165">
        <v>0</v>
      </c>
      <c r="GK125" s="165">
        <v>0</v>
      </c>
      <c r="GL125" s="165">
        <v>0</v>
      </c>
      <c r="GM125" s="165">
        <v>0</v>
      </c>
      <c r="GN125" s="165">
        <v>0</v>
      </c>
      <c r="GO125" s="165">
        <v>0</v>
      </c>
      <c r="GP125" s="165">
        <v>0</v>
      </c>
      <c r="GQ125" s="165">
        <v>0</v>
      </c>
      <c r="GR125" s="165">
        <v>0</v>
      </c>
      <c r="GS125" s="165">
        <v>0</v>
      </c>
      <c r="GT125" s="165">
        <v>0</v>
      </c>
      <c r="GU125" s="165">
        <v>0</v>
      </c>
      <c r="GV125" s="165">
        <v>0</v>
      </c>
      <c r="GW125" s="165">
        <v>0</v>
      </c>
      <c r="GX125" s="165">
        <v>0</v>
      </c>
      <c r="GY125" s="165">
        <v>0</v>
      </c>
      <c r="GZ125" s="165">
        <v>0</v>
      </c>
      <c r="HA125" s="165">
        <v>0</v>
      </c>
      <c r="HB125" s="166">
        <v>0</v>
      </c>
      <c r="HC125" s="166">
        <v>0</v>
      </c>
      <c r="HD125" s="166">
        <v>0</v>
      </c>
      <c r="HE125" s="166">
        <v>0</v>
      </c>
      <c r="HF125" s="166"/>
      <c r="HG125" s="166">
        <v>0</v>
      </c>
      <c r="HH125" s="166">
        <v>0</v>
      </c>
      <c r="HI125" s="166">
        <v>0</v>
      </c>
      <c r="HJ125" s="166">
        <v>0</v>
      </c>
      <c r="HK125" s="166">
        <v>0</v>
      </c>
      <c r="HL125" s="166">
        <v>0</v>
      </c>
      <c r="HM125" s="166">
        <v>0</v>
      </c>
      <c r="HN125" s="166">
        <v>0</v>
      </c>
      <c r="HO125" s="166">
        <v>0</v>
      </c>
      <c r="HP125" s="166">
        <v>0</v>
      </c>
      <c r="HQ125" s="166">
        <v>0</v>
      </c>
      <c r="HR125" s="166">
        <v>0</v>
      </c>
      <c r="HS125" s="166">
        <v>0</v>
      </c>
      <c r="HT125" s="166">
        <f>FY26_FE_Data_April15[[#This Row],[Oct 1, 2026 (CDC) - K]]+FY26_FE_Data_April15[[#This Row],[Oct 1, 2026 (CDC) - Grades 1-6]]+FY26_FE_Data_April15[[#This Row],[Oct 1, 2026 (CDC) - Grades 7-8]]</f>
        <v>0</v>
      </c>
      <c r="HU125" s="166">
        <v>0</v>
      </c>
      <c r="HW125" s="170"/>
      <c r="HY125" s="170"/>
    </row>
    <row r="126" spans="1:233" ht="39">
      <c r="A126" s="158" t="s">
        <v>590</v>
      </c>
      <c r="B126" s="159" t="s">
        <v>591</v>
      </c>
      <c r="C126" s="160" t="s">
        <v>592</v>
      </c>
      <c r="D126" s="160" t="s">
        <v>139</v>
      </c>
      <c r="E126" s="159" t="s">
        <v>784</v>
      </c>
      <c r="F126" s="159" t="s">
        <v>784</v>
      </c>
      <c r="G126" s="159"/>
      <c r="H126" s="161">
        <v>101.52777777777777</v>
      </c>
      <c r="I126" s="161">
        <v>23.144444444444446</v>
      </c>
      <c r="J126" s="161">
        <v>124.67222222222222</v>
      </c>
      <c r="K126" s="162">
        <v>66</v>
      </c>
      <c r="L126" s="162">
        <v>496</v>
      </c>
      <c r="M126" s="162">
        <v>128</v>
      </c>
      <c r="N126" s="162">
        <v>0</v>
      </c>
      <c r="O126" s="162">
        <v>690</v>
      </c>
      <c r="P126" s="162">
        <v>624</v>
      </c>
      <c r="Q126" s="162">
        <v>690</v>
      </c>
      <c r="R126" s="162">
        <v>22</v>
      </c>
      <c r="S126" s="160">
        <v>68.13333333333334</v>
      </c>
      <c r="T126" s="160">
        <v>74.105555555555554</v>
      </c>
      <c r="U126" s="160">
        <v>76.611111111111114</v>
      </c>
      <c r="V126" s="160">
        <v>91.261111111111106</v>
      </c>
      <c r="W126" s="160">
        <v>78.88333333333334</v>
      </c>
      <c r="X126" s="160">
        <v>71.24444444444444</v>
      </c>
      <c r="Y126" s="160">
        <v>80.205555555555549</v>
      </c>
      <c r="Z126" s="160">
        <v>69.516666666666666</v>
      </c>
      <c r="AA126" s="160">
        <v>56.105555555555554</v>
      </c>
      <c r="AB126" s="160">
        <v>0</v>
      </c>
      <c r="AC126" s="160">
        <v>0</v>
      </c>
      <c r="AD126" s="160">
        <v>0</v>
      </c>
      <c r="AE126" s="160">
        <v>0</v>
      </c>
      <c r="AF126" s="160">
        <v>472.31111111111102</v>
      </c>
      <c r="AG126" s="160">
        <v>125.62222222222222</v>
      </c>
      <c r="AH126" s="160">
        <v>0</v>
      </c>
      <c r="AI126" s="160">
        <v>666.06666666666661</v>
      </c>
      <c r="AJ126" s="160">
        <v>597.93333333333317</v>
      </c>
      <c r="AK126" s="160">
        <v>666.06666666666661</v>
      </c>
      <c r="AL126" s="161">
        <v>109.84444444444445</v>
      </c>
      <c r="AM126" s="161">
        <v>21.06111111111111</v>
      </c>
      <c r="AN126" s="161">
        <v>130.90555555555557</v>
      </c>
      <c r="AO126" s="161">
        <v>687.12777777777774</v>
      </c>
      <c r="AP126" s="162">
        <v>59</v>
      </c>
      <c r="AQ126" s="168">
        <v>68</v>
      </c>
      <c r="AR126" s="160">
        <v>79</v>
      </c>
      <c r="AS126" s="160">
        <v>77</v>
      </c>
      <c r="AT126" s="160">
        <v>90</v>
      </c>
      <c r="AU126" s="160">
        <v>88</v>
      </c>
      <c r="AV126" s="160">
        <v>73</v>
      </c>
      <c r="AW126" s="160">
        <v>78</v>
      </c>
      <c r="AX126" s="160">
        <v>65</v>
      </c>
      <c r="AY126" s="160">
        <v>0</v>
      </c>
      <c r="AZ126" s="160">
        <v>0</v>
      </c>
      <c r="BA126" s="160">
        <v>0</v>
      </c>
      <c r="BB126" s="160">
        <v>0</v>
      </c>
      <c r="BC126" s="160">
        <v>475</v>
      </c>
      <c r="BD126" s="160">
        <v>143</v>
      </c>
      <c r="BE126" s="160">
        <v>0</v>
      </c>
      <c r="BF126" s="160">
        <v>677</v>
      </c>
      <c r="BG126" s="160">
        <v>618</v>
      </c>
      <c r="BH126" s="160">
        <v>677</v>
      </c>
      <c r="BI126" s="160">
        <v>56</v>
      </c>
      <c r="BJ126" s="160">
        <v>3</v>
      </c>
      <c r="BK126" s="160">
        <v>0</v>
      </c>
      <c r="BL126" s="160">
        <v>349</v>
      </c>
      <c r="BM126" s="160">
        <v>106</v>
      </c>
      <c r="BN126" s="162">
        <v>19</v>
      </c>
      <c r="BO126" s="162">
        <v>125</v>
      </c>
      <c r="BP126" s="162">
        <v>27</v>
      </c>
      <c r="BQ126" s="163">
        <v>7.4278160486518752E-2</v>
      </c>
      <c r="BR126" s="164">
        <v>38.92</v>
      </c>
      <c r="BS126" s="164">
        <v>38.92</v>
      </c>
      <c r="BT126" s="164">
        <v>36.69</v>
      </c>
      <c r="BU126" s="164">
        <v>39.669999999999987</v>
      </c>
      <c r="BV126" s="165">
        <v>0</v>
      </c>
      <c r="BW126" s="165">
        <v>0</v>
      </c>
      <c r="BX126" s="166">
        <v>0</v>
      </c>
      <c r="BY126" s="166">
        <v>2.7277770000000001</v>
      </c>
      <c r="BZ126" s="166">
        <v>56.127777000000002</v>
      </c>
      <c r="CA126" s="166">
        <v>58.855555555555554</v>
      </c>
      <c r="CB126" s="166">
        <v>67.927777777777777</v>
      </c>
      <c r="CC126" s="166">
        <v>79.227777777777774</v>
      </c>
      <c r="CD126" s="166">
        <v>75.911111111111111</v>
      </c>
      <c r="CE126" s="166">
        <v>91.222222222222229</v>
      </c>
      <c r="CF126" s="166">
        <v>85.62777777777778</v>
      </c>
      <c r="CG126" s="166">
        <v>72.7</v>
      </c>
      <c r="CH126" s="166">
        <v>73.061111111111117</v>
      </c>
      <c r="CI126" s="166">
        <v>64.266666666666666</v>
      </c>
      <c r="CJ126" s="166">
        <v>0</v>
      </c>
      <c r="CK126" s="166">
        <v>0</v>
      </c>
      <c r="CL126" s="166">
        <v>0</v>
      </c>
      <c r="CM126" s="166">
        <v>0</v>
      </c>
      <c r="CN126" s="166">
        <v>472.61666666666667</v>
      </c>
      <c r="CO126" s="166">
        <v>137.32777777777778</v>
      </c>
      <c r="CP126" s="166">
        <v>0</v>
      </c>
      <c r="CQ126" s="166">
        <v>668.80000000000007</v>
      </c>
      <c r="CR126" s="166">
        <v>609.94444444444446</v>
      </c>
      <c r="CS126" s="166">
        <v>668.80000000000007</v>
      </c>
      <c r="CT126" s="166">
        <v>105.522222222222</v>
      </c>
      <c r="CU126" s="166">
        <v>18.133333333333301</v>
      </c>
      <c r="CV126" s="166">
        <v>123.6555555555553</v>
      </c>
      <c r="CW126" s="166">
        <v>686.93333333333339</v>
      </c>
      <c r="CX126" s="166">
        <v>0</v>
      </c>
      <c r="CY126" s="166">
        <v>107</v>
      </c>
      <c r="CZ126" s="165">
        <v>2</v>
      </c>
      <c r="DA126" s="165">
        <v>109</v>
      </c>
      <c r="DB126" s="165">
        <v>72</v>
      </c>
      <c r="DC126" s="165">
        <v>77</v>
      </c>
      <c r="DD126" s="165">
        <v>87</v>
      </c>
      <c r="DE126" s="165">
        <v>82</v>
      </c>
      <c r="DF126" s="165">
        <v>92</v>
      </c>
      <c r="DG126" s="165">
        <v>85</v>
      </c>
      <c r="DH126" s="165">
        <v>73</v>
      </c>
      <c r="DI126" s="165">
        <v>60</v>
      </c>
      <c r="DJ126" s="165">
        <v>0</v>
      </c>
      <c r="DK126" s="165">
        <v>0</v>
      </c>
      <c r="DL126" s="165">
        <v>0</v>
      </c>
      <c r="DM126" s="165">
        <v>0</v>
      </c>
      <c r="DN126" s="165">
        <v>495</v>
      </c>
      <c r="DO126" s="165">
        <v>133</v>
      </c>
      <c r="DP126" s="165">
        <v>0</v>
      </c>
      <c r="DQ126" s="165">
        <v>737</v>
      </c>
      <c r="DR126" s="165">
        <v>628</v>
      </c>
      <c r="DS126" s="165">
        <v>737</v>
      </c>
      <c r="DT126" s="165">
        <v>0</v>
      </c>
      <c r="DU126" s="165">
        <v>399</v>
      </c>
      <c r="DV126" s="165">
        <v>122</v>
      </c>
      <c r="DW126" s="165">
        <v>17</v>
      </c>
      <c r="DX126" s="165">
        <v>139</v>
      </c>
      <c r="DY126" s="165">
        <v>754</v>
      </c>
      <c r="DZ126" s="165">
        <v>29</v>
      </c>
      <c r="EA126" s="166">
        <v>38.71</v>
      </c>
      <c r="EB126" s="166">
        <v>37.71</v>
      </c>
      <c r="EC126" s="166">
        <v>23.799999999999997</v>
      </c>
      <c r="ED126" s="166">
        <v>7.9500000000000011</v>
      </c>
      <c r="EE126" s="166">
        <v>0</v>
      </c>
      <c r="EF126" s="166">
        <v>39.46</v>
      </c>
      <c r="EG126" s="167">
        <v>7.9935608246341383E-2</v>
      </c>
      <c r="EH126" s="165"/>
      <c r="EI126" s="165">
        <v>113</v>
      </c>
      <c r="EJ126" s="165">
        <v>1186</v>
      </c>
      <c r="EK126" s="165">
        <v>946</v>
      </c>
      <c r="EL126" s="165">
        <v>240</v>
      </c>
      <c r="EM126" s="165">
        <v>0</v>
      </c>
      <c r="EN126" s="165">
        <v>1299</v>
      </c>
      <c r="EO126" s="165">
        <v>0</v>
      </c>
      <c r="EP126" s="165">
        <v>149</v>
      </c>
      <c r="EQ126" s="165">
        <v>149</v>
      </c>
      <c r="ER126" s="165">
        <v>131</v>
      </c>
      <c r="ES126" s="165">
        <v>18</v>
      </c>
      <c r="ET126" s="165">
        <v>31</v>
      </c>
      <c r="EU126" s="166">
        <v>23.587</v>
      </c>
      <c r="EV126" s="166">
        <v>0</v>
      </c>
      <c r="EW126" s="166">
        <v>2.5</v>
      </c>
      <c r="EX126" s="166">
        <v>2.0779999999999998</v>
      </c>
      <c r="EY126" s="166">
        <v>7.0019999999999998</v>
      </c>
      <c r="EZ126" s="166">
        <v>35.167000000000002</v>
      </c>
      <c r="FA126" s="166">
        <v>1</v>
      </c>
      <c r="FB126" s="166">
        <v>109.19444444444444</v>
      </c>
      <c r="FC126" s="166">
        <v>110.19444444444444</v>
      </c>
      <c r="FD126" s="166">
        <v>70.161111111111111</v>
      </c>
      <c r="FE126" s="166">
        <v>76.033333333333331</v>
      </c>
      <c r="FF126" s="166">
        <v>83.405555555555551</v>
      </c>
      <c r="FG126" s="166">
        <v>77.988888888888894</v>
      </c>
      <c r="FH126" s="166">
        <v>88.611111111111114</v>
      </c>
      <c r="FI126" s="166">
        <v>78.188888888888883</v>
      </c>
      <c r="FJ126" s="166">
        <v>69</v>
      </c>
      <c r="FK126" s="166">
        <v>55.166666666666664</v>
      </c>
      <c r="FL126" s="166">
        <v>0</v>
      </c>
      <c r="FM126" s="166">
        <v>0</v>
      </c>
      <c r="FN126" s="166">
        <v>0</v>
      </c>
      <c r="FO126" s="166">
        <v>0</v>
      </c>
      <c r="FP126" s="166">
        <v>474.38888888888891</v>
      </c>
      <c r="FQ126" s="166">
        <v>124.16666666666666</v>
      </c>
      <c r="FR126" s="166">
        <v>0</v>
      </c>
      <c r="FS126" s="166">
        <v>708.75</v>
      </c>
      <c r="FT126" s="166">
        <v>598.55555555555554</v>
      </c>
      <c r="FU126" s="166">
        <v>708.75</v>
      </c>
      <c r="FV126" s="166">
        <v>124.91111111111111</v>
      </c>
      <c r="FW126" s="166">
        <v>18.344444444444445</v>
      </c>
      <c r="FX126" s="166">
        <v>143.25555555555556</v>
      </c>
      <c r="FY126" s="166">
        <v>727.09444444444443</v>
      </c>
      <c r="FZ126" s="165">
        <v>2</v>
      </c>
      <c r="GA126" s="165">
        <v>708</v>
      </c>
      <c r="GB126" s="165">
        <v>710</v>
      </c>
      <c r="GC126" s="165">
        <v>280</v>
      </c>
      <c r="GD126" s="165">
        <v>199</v>
      </c>
      <c r="GE126" s="165">
        <v>217</v>
      </c>
      <c r="GF126" s="165">
        <v>207</v>
      </c>
      <c r="GG126" s="165">
        <v>196</v>
      </c>
      <c r="GH126" s="165">
        <v>181</v>
      </c>
      <c r="GI126" s="165">
        <v>144</v>
      </c>
      <c r="GJ126" s="165">
        <v>89</v>
      </c>
      <c r="GK126" s="165">
        <v>0</v>
      </c>
      <c r="GL126" s="165">
        <v>0</v>
      </c>
      <c r="GM126" s="165">
        <v>0</v>
      </c>
      <c r="GN126" s="165">
        <v>0</v>
      </c>
      <c r="GO126" s="165">
        <v>1280</v>
      </c>
      <c r="GP126" s="165">
        <v>233</v>
      </c>
      <c r="GQ126" s="165">
        <v>0</v>
      </c>
      <c r="GR126" s="165">
        <v>2223</v>
      </c>
      <c r="GS126" s="165">
        <v>1513</v>
      </c>
      <c r="GT126" s="165">
        <v>2223</v>
      </c>
      <c r="GU126" s="165">
        <v>0</v>
      </c>
      <c r="GV126" s="165">
        <v>994</v>
      </c>
      <c r="GW126" s="165">
        <v>132</v>
      </c>
      <c r="GX126" s="165">
        <v>17</v>
      </c>
      <c r="GY126" s="165">
        <v>149</v>
      </c>
      <c r="GZ126" s="165">
        <v>2240</v>
      </c>
      <c r="HA126" s="165">
        <v>31</v>
      </c>
      <c r="HB126" s="166">
        <v>41.605000000000004</v>
      </c>
      <c r="HC126" s="166">
        <v>41.605000000000004</v>
      </c>
      <c r="HD126" s="166">
        <v>25.799999999999997</v>
      </c>
      <c r="HE126" s="166">
        <v>7.75</v>
      </c>
      <c r="HF126" s="166"/>
      <c r="HG126" s="166">
        <v>41.73</v>
      </c>
      <c r="HH126" s="166">
        <v>0</v>
      </c>
      <c r="HI126" s="166">
        <v>175</v>
      </c>
      <c r="HJ126" s="166">
        <v>175</v>
      </c>
      <c r="HK126" s="166">
        <v>158</v>
      </c>
      <c r="HL126" s="166">
        <v>17</v>
      </c>
      <c r="HM126" s="166">
        <v>18</v>
      </c>
      <c r="HN126" s="166">
        <v>700</v>
      </c>
      <c r="HO126" s="166">
        <v>1523</v>
      </c>
      <c r="HP126" s="166">
        <v>1253</v>
      </c>
      <c r="HQ126" s="166">
        <v>270</v>
      </c>
      <c r="HR126" s="166">
        <v>0</v>
      </c>
      <c r="HS126" s="166">
        <v>2223</v>
      </c>
      <c r="HT126" s="166">
        <f>FY26_FE_Data_April15[[#This Row],[Oct 1, 2026 (CDC) - K]]+FY26_FE_Data_April15[[#This Row],[Oct 1, 2026 (CDC) - Grades 1-6]]+FY26_FE_Data_April15[[#This Row],[Oct 1, 2026 (CDC) - Grades 7-8]]</f>
        <v>2223</v>
      </c>
      <c r="HU126" s="166">
        <v>0</v>
      </c>
      <c r="HW126" s="170"/>
      <c r="HY126" s="170"/>
    </row>
    <row r="127" spans="1:233" ht="26">
      <c r="A127" s="158" t="s">
        <v>593</v>
      </c>
      <c r="B127" s="159" t="s">
        <v>594</v>
      </c>
      <c r="C127" s="160" t="s">
        <v>595</v>
      </c>
      <c r="D127" s="160" t="s">
        <v>139</v>
      </c>
      <c r="E127" s="159" t="s">
        <v>784</v>
      </c>
      <c r="F127" s="159" t="s">
        <v>784</v>
      </c>
      <c r="G127" s="159"/>
      <c r="H127" s="161">
        <v>158.63333333333333</v>
      </c>
      <c r="I127" s="161">
        <v>24.861111111111111</v>
      </c>
      <c r="J127" s="161">
        <v>183.49444444444444</v>
      </c>
      <c r="K127" s="162">
        <v>162</v>
      </c>
      <c r="L127" s="162">
        <v>895</v>
      </c>
      <c r="M127" s="162">
        <v>341</v>
      </c>
      <c r="N127" s="162">
        <v>0</v>
      </c>
      <c r="O127" s="162">
        <v>1398</v>
      </c>
      <c r="P127" s="162">
        <v>1236</v>
      </c>
      <c r="Q127" s="162">
        <v>1398</v>
      </c>
      <c r="R127" s="162">
        <v>21</v>
      </c>
      <c r="S127" s="160">
        <v>157.77222222222221</v>
      </c>
      <c r="T127" s="160">
        <v>149.25</v>
      </c>
      <c r="U127" s="160">
        <v>152.65555555555557</v>
      </c>
      <c r="V127" s="160">
        <v>136.8111111111111</v>
      </c>
      <c r="W127" s="160">
        <v>136.36666666666667</v>
      </c>
      <c r="X127" s="160">
        <v>136.8388888888889</v>
      </c>
      <c r="Y127" s="160">
        <v>161.06666666666666</v>
      </c>
      <c r="Z127" s="160">
        <v>175.13888888888889</v>
      </c>
      <c r="AA127" s="160">
        <v>152.96666666666667</v>
      </c>
      <c r="AB127" s="160">
        <v>0</v>
      </c>
      <c r="AC127" s="160">
        <v>0</v>
      </c>
      <c r="AD127" s="160">
        <v>0</v>
      </c>
      <c r="AE127" s="160">
        <v>0</v>
      </c>
      <c r="AF127" s="160">
        <v>872.98888888888882</v>
      </c>
      <c r="AG127" s="160">
        <v>328.10555555555555</v>
      </c>
      <c r="AH127" s="160">
        <v>0</v>
      </c>
      <c r="AI127" s="160">
        <v>1358.8666666666668</v>
      </c>
      <c r="AJ127" s="160">
        <v>1201.0944444444444</v>
      </c>
      <c r="AK127" s="160">
        <v>1358.8666666666668</v>
      </c>
      <c r="AL127" s="161">
        <v>174.31666666666666</v>
      </c>
      <c r="AM127" s="161">
        <v>17.683333333333334</v>
      </c>
      <c r="AN127" s="161">
        <v>192</v>
      </c>
      <c r="AO127" s="161">
        <v>1376.5500000000002</v>
      </c>
      <c r="AP127" s="162">
        <v>128</v>
      </c>
      <c r="AQ127" s="168">
        <v>145</v>
      </c>
      <c r="AR127" s="160">
        <v>145</v>
      </c>
      <c r="AS127" s="160">
        <v>143</v>
      </c>
      <c r="AT127" s="160">
        <v>138</v>
      </c>
      <c r="AU127" s="160">
        <v>142</v>
      </c>
      <c r="AV127" s="160">
        <v>161</v>
      </c>
      <c r="AW127" s="160">
        <v>191</v>
      </c>
      <c r="AX127" s="160">
        <v>169</v>
      </c>
      <c r="AY127" s="160">
        <v>0</v>
      </c>
      <c r="AZ127" s="160">
        <v>0</v>
      </c>
      <c r="BA127" s="160">
        <v>0</v>
      </c>
      <c r="BB127" s="160">
        <v>0</v>
      </c>
      <c r="BC127" s="160">
        <v>874</v>
      </c>
      <c r="BD127" s="160">
        <v>360</v>
      </c>
      <c r="BE127" s="160">
        <v>0</v>
      </c>
      <c r="BF127" s="160">
        <v>1362</v>
      </c>
      <c r="BG127" s="160">
        <v>1234</v>
      </c>
      <c r="BH127" s="160">
        <v>1362</v>
      </c>
      <c r="BI127" s="160">
        <v>48</v>
      </c>
      <c r="BJ127" s="160">
        <v>80</v>
      </c>
      <c r="BK127" s="160">
        <v>0</v>
      </c>
      <c r="BL127" s="160">
        <v>329</v>
      </c>
      <c r="BM127" s="160">
        <v>185</v>
      </c>
      <c r="BN127" s="162">
        <v>14</v>
      </c>
      <c r="BO127" s="162">
        <v>199</v>
      </c>
      <c r="BP127" s="162">
        <v>34</v>
      </c>
      <c r="BQ127" s="163">
        <v>6.0713099937285575E-2</v>
      </c>
      <c r="BR127" s="164">
        <v>75.165000000000006</v>
      </c>
      <c r="BS127" s="164">
        <v>72.165000000000006</v>
      </c>
      <c r="BT127" s="164">
        <v>71.165000000000006</v>
      </c>
      <c r="BU127" s="164">
        <v>76.165000000000006</v>
      </c>
      <c r="BV127" s="165">
        <v>0</v>
      </c>
      <c r="BW127" s="165">
        <v>0</v>
      </c>
      <c r="BX127" s="166">
        <v>0</v>
      </c>
      <c r="BY127" s="166">
        <v>79.711111000000002</v>
      </c>
      <c r="BZ127" s="166">
        <v>47.483333000000002</v>
      </c>
      <c r="CA127" s="166">
        <v>127.19444444444444</v>
      </c>
      <c r="CB127" s="166">
        <v>145.53888888888889</v>
      </c>
      <c r="CC127" s="166">
        <v>144.75555555555556</v>
      </c>
      <c r="CD127" s="166">
        <v>137.32777777777778</v>
      </c>
      <c r="CE127" s="166">
        <v>137.8388888888889</v>
      </c>
      <c r="CF127" s="166">
        <v>138.91666666666666</v>
      </c>
      <c r="CG127" s="166">
        <v>157.69999999999999</v>
      </c>
      <c r="CH127" s="166">
        <v>190.6888888888889</v>
      </c>
      <c r="CI127" s="166">
        <v>167.32777777777778</v>
      </c>
      <c r="CJ127" s="166">
        <v>0</v>
      </c>
      <c r="CK127" s="166">
        <v>0</v>
      </c>
      <c r="CL127" s="166">
        <v>0</v>
      </c>
      <c r="CM127" s="166">
        <v>0</v>
      </c>
      <c r="CN127" s="166">
        <v>862.07777777777778</v>
      </c>
      <c r="CO127" s="166">
        <v>358.01666666666665</v>
      </c>
      <c r="CP127" s="166">
        <v>0</v>
      </c>
      <c r="CQ127" s="166">
        <v>1347.2888888888888</v>
      </c>
      <c r="CR127" s="166">
        <v>1220.0944444444444</v>
      </c>
      <c r="CS127" s="166">
        <v>1347.2888888888888</v>
      </c>
      <c r="CT127" s="166">
        <v>182.638888888889</v>
      </c>
      <c r="CU127" s="166">
        <v>9</v>
      </c>
      <c r="CV127" s="166">
        <v>191.638888888889</v>
      </c>
      <c r="CW127" s="166">
        <v>1356.2888888888888</v>
      </c>
      <c r="CX127" s="166">
        <v>0</v>
      </c>
      <c r="CY127" s="166">
        <v>115</v>
      </c>
      <c r="CZ127" s="165">
        <v>31</v>
      </c>
      <c r="DA127" s="165">
        <v>146</v>
      </c>
      <c r="DB127" s="165">
        <v>142</v>
      </c>
      <c r="DC127" s="165">
        <v>145</v>
      </c>
      <c r="DD127" s="165">
        <v>145</v>
      </c>
      <c r="DE127" s="165">
        <v>143</v>
      </c>
      <c r="DF127" s="165">
        <v>146</v>
      </c>
      <c r="DG127" s="165">
        <v>165</v>
      </c>
      <c r="DH127" s="165">
        <v>195</v>
      </c>
      <c r="DI127" s="165">
        <v>179</v>
      </c>
      <c r="DJ127" s="165">
        <v>0</v>
      </c>
      <c r="DK127" s="165">
        <v>0</v>
      </c>
      <c r="DL127" s="165">
        <v>0</v>
      </c>
      <c r="DM127" s="165">
        <v>0</v>
      </c>
      <c r="DN127" s="165">
        <v>886</v>
      </c>
      <c r="DO127" s="165">
        <v>374</v>
      </c>
      <c r="DP127" s="165">
        <v>0</v>
      </c>
      <c r="DQ127" s="165">
        <v>1406</v>
      </c>
      <c r="DR127" s="165">
        <v>1260</v>
      </c>
      <c r="DS127" s="165">
        <v>1406</v>
      </c>
      <c r="DT127" s="165">
        <v>0</v>
      </c>
      <c r="DU127" s="165">
        <v>254</v>
      </c>
      <c r="DV127" s="165">
        <v>200</v>
      </c>
      <c r="DW127" s="165">
        <v>10</v>
      </c>
      <c r="DX127" s="165">
        <v>210</v>
      </c>
      <c r="DY127" s="165">
        <v>1416</v>
      </c>
      <c r="DZ127" s="165">
        <v>33</v>
      </c>
      <c r="EA127" s="166">
        <v>75.915000000000006</v>
      </c>
      <c r="EB127" s="166">
        <v>71.915000000000006</v>
      </c>
      <c r="EC127" s="166">
        <v>44.99</v>
      </c>
      <c r="ED127" s="166">
        <v>20.484999999999999</v>
      </c>
      <c r="EE127" s="166">
        <v>0</v>
      </c>
      <c r="EF127" s="166">
        <v>77.375</v>
      </c>
      <c r="EG127" s="167">
        <v>5.8290195712664583E-2</v>
      </c>
      <c r="EH127" s="165"/>
      <c r="EI127" s="165">
        <v>149</v>
      </c>
      <c r="EJ127" s="165">
        <v>1252</v>
      </c>
      <c r="EK127" s="165">
        <v>890</v>
      </c>
      <c r="EL127" s="165">
        <v>362</v>
      </c>
      <c r="EM127" s="165">
        <v>0</v>
      </c>
      <c r="EN127" s="165">
        <v>1401</v>
      </c>
      <c r="EO127" s="165">
        <v>0</v>
      </c>
      <c r="EP127" s="165">
        <v>218</v>
      </c>
      <c r="EQ127" s="165">
        <v>218</v>
      </c>
      <c r="ER127" s="165">
        <v>206</v>
      </c>
      <c r="ES127" s="165">
        <v>12</v>
      </c>
      <c r="ET127" s="165">
        <v>1</v>
      </c>
      <c r="EU127" s="166">
        <v>60.279000000000003</v>
      </c>
      <c r="EV127" s="166">
        <v>2</v>
      </c>
      <c r="EW127" s="166">
        <v>4.7480000000000002</v>
      </c>
      <c r="EX127" s="166">
        <v>1</v>
      </c>
      <c r="EY127" s="166">
        <v>10.901999999999999</v>
      </c>
      <c r="EZ127" s="166">
        <v>78.929000000000002</v>
      </c>
      <c r="FA127" s="166">
        <v>30.016666666666666</v>
      </c>
      <c r="FB127" s="166">
        <v>114.5</v>
      </c>
      <c r="FC127" s="166">
        <v>144.51666666666668</v>
      </c>
      <c r="FD127" s="166">
        <v>139.47222222222223</v>
      </c>
      <c r="FE127" s="166">
        <v>142.17777777777778</v>
      </c>
      <c r="FF127" s="166">
        <v>144.89444444444445</v>
      </c>
      <c r="FG127" s="166">
        <v>139.54444444444445</v>
      </c>
      <c r="FH127" s="166">
        <v>144.55000000000001</v>
      </c>
      <c r="FI127" s="166">
        <v>160.76111111111112</v>
      </c>
      <c r="FJ127" s="166">
        <v>188.67222222222222</v>
      </c>
      <c r="FK127" s="166">
        <v>174.44444444444446</v>
      </c>
      <c r="FL127" s="166">
        <v>0</v>
      </c>
      <c r="FM127" s="166">
        <v>0</v>
      </c>
      <c r="FN127" s="166">
        <v>0</v>
      </c>
      <c r="FO127" s="166">
        <v>0</v>
      </c>
      <c r="FP127" s="166">
        <v>871.40000000000009</v>
      </c>
      <c r="FQ127" s="166">
        <v>363.11666666666667</v>
      </c>
      <c r="FR127" s="166">
        <v>0</v>
      </c>
      <c r="FS127" s="166">
        <v>1379.0333333333333</v>
      </c>
      <c r="FT127" s="166">
        <v>1234.5166666666669</v>
      </c>
      <c r="FU127" s="166">
        <v>1379.0333333333333</v>
      </c>
      <c r="FV127" s="166">
        <v>206.39444444444445</v>
      </c>
      <c r="FW127" s="166">
        <v>12.233333333333333</v>
      </c>
      <c r="FX127" s="166">
        <v>218.62777777777777</v>
      </c>
      <c r="FY127" s="166">
        <v>1391.2666666666667</v>
      </c>
      <c r="FZ127" s="165">
        <v>25</v>
      </c>
      <c r="GA127" s="165">
        <v>123</v>
      </c>
      <c r="GB127" s="165">
        <v>148</v>
      </c>
      <c r="GC127" s="165">
        <v>143</v>
      </c>
      <c r="GD127" s="165">
        <v>146</v>
      </c>
      <c r="GE127" s="165">
        <v>150</v>
      </c>
      <c r="GF127" s="165">
        <v>149</v>
      </c>
      <c r="GG127" s="165">
        <v>150</v>
      </c>
      <c r="GH127" s="165">
        <v>179</v>
      </c>
      <c r="GI127" s="165">
        <v>168</v>
      </c>
      <c r="GJ127" s="165">
        <v>176</v>
      </c>
      <c r="GK127" s="165">
        <v>0</v>
      </c>
      <c r="GL127" s="165">
        <v>0</v>
      </c>
      <c r="GM127" s="165">
        <v>0</v>
      </c>
      <c r="GN127" s="165">
        <v>0</v>
      </c>
      <c r="GO127" s="165">
        <v>917</v>
      </c>
      <c r="GP127" s="165">
        <v>344</v>
      </c>
      <c r="GQ127" s="165">
        <v>0</v>
      </c>
      <c r="GR127" s="165">
        <v>1409</v>
      </c>
      <c r="GS127" s="165">
        <v>1261</v>
      </c>
      <c r="GT127" s="165">
        <v>1409</v>
      </c>
      <c r="GU127" s="165">
        <v>0</v>
      </c>
      <c r="GV127" s="165">
        <v>280</v>
      </c>
      <c r="GW127" s="165">
        <v>209</v>
      </c>
      <c r="GX127" s="165">
        <v>15</v>
      </c>
      <c r="GY127" s="165">
        <v>224</v>
      </c>
      <c r="GZ127" s="165">
        <v>1424</v>
      </c>
      <c r="HA127" s="165">
        <v>44</v>
      </c>
      <c r="HB127" s="166">
        <v>77.040000000000006</v>
      </c>
      <c r="HC127" s="166">
        <v>73.040000000000006</v>
      </c>
      <c r="HD127" s="166">
        <v>48.56</v>
      </c>
      <c r="HE127" s="166">
        <v>18.889999999999997</v>
      </c>
      <c r="HF127" s="166"/>
      <c r="HG127" s="166">
        <v>78.5</v>
      </c>
      <c r="HH127" s="166">
        <v>0</v>
      </c>
      <c r="HI127" s="166">
        <v>219</v>
      </c>
      <c r="HJ127" s="166">
        <v>219</v>
      </c>
      <c r="HK127" s="166">
        <v>203</v>
      </c>
      <c r="HL127" s="166">
        <v>16</v>
      </c>
      <c r="HM127" s="166">
        <v>3</v>
      </c>
      <c r="HN127" s="166">
        <v>145</v>
      </c>
      <c r="HO127" s="166">
        <v>1264</v>
      </c>
      <c r="HP127" s="166">
        <v>905</v>
      </c>
      <c r="HQ127" s="166">
        <v>359</v>
      </c>
      <c r="HR127" s="166">
        <v>0</v>
      </c>
      <c r="HS127" s="166">
        <v>1409</v>
      </c>
      <c r="HT127" s="166">
        <f>FY26_FE_Data_April15[[#This Row],[Oct 1, 2026 (CDC) - K]]+FY26_FE_Data_April15[[#This Row],[Oct 1, 2026 (CDC) - Grades 1-6]]+FY26_FE_Data_April15[[#This Row],[Oct 1, 2026 (CDC) - Grades 7-8]]</f>
        <v>1409</v>
      </c>
      <c r="HU127" s="166">
        <v>0</v>
      </c>
      <c r="HW127" s="170"/>
      <c r="HY127" s="170"/>
    </row>
    <row r="128" spans="1:233" ht="39">
      <c r="A128" s="158" t="s">
        <v>596</v>
      </c>
      <c r="B128" s="159" t="s">
        <v>597</v>
      </c>
      <c r="C128" s="160" t="s">
        <v>598</v>
      </c>
      <c r="D128" s="160" t="s">
        <v>139</v>
      </c>
      <c r="E128" s="159" t="s">
        <v>785</v>
      </c>
      <c r="F128" s="159" t="s">
        <v>785</v>
      </c>
      <c r="G128" s="159" t="s">
        <v>785</v>
      </c>
      <c r="H128" s="161">
        <v>81.955555555555549</v>
      </c>
      <c r="I128" s="161">
        <v>0</v>
      </c>
      <c r="J128" s="161">
        <v>81.955555555555549</v>
      </c>
      <c r="K128" s="162">
        <v>0</v>
      </c>
      <c r="L128" s="162">
        <v>0</v>
      </c>
      <c r="M128" s="162">
        <v>0</v>
      </c>
      <c r="N128" s="162">
        <v>510</v>
      </c>
      <c r="O128" s="162">
        <v>510</v>
      </c>
      <c r="P128" s="162">
        <v>510</v>
      </c>
      <c r="Q128" s="162">
        <v>0</v>
      </c>
      <c r="R128" s="162">
        <v>1</v>
      </c>
      <c r="S128" s="160">
        <v>0</v>
      </c>
      <c r="T128" s="160">
        <v>0</v>
      </c>
      <c r="U128" s="160">
        <v>0</v>
      </c>
      <c r="V128" s="160">
        <v>0</v>
      </c>
      <c r="W128" s="160">
        <v>0</v>
      </c>
      <c r="X128" s="160">
        <v>0</v>
      </c>
      <c r="Y128" s="160">
        <v>0</v>
      </c>
      <c r="Z128" s="160">
        <v>0</v>
      </c>
      <c r="AA128" s="160">
        <v>0</v>
      </c>
      <c r="AB128" s="160">
        <v>137.1611111111111</v>
      </c>
      <c r="AC128" s="160">
        <v>135.74444444444444</v>
      </c>
      <c r="AD128" s="160">
        <v>124.4</v>
      </c>
      <c r="AE128" s="160">
        <v>104.96111111111111</v>
      </c>
      <c r="AF128" s="160">
        <v>0</v>
      </c>
      <c r="AG128" s="160">
        <v>0</v>
      </c>
      <c r="AH128" s="160">
        <v>502.26666666666665</v>
      </c>
      <c r="AI128" s="160">
        <v>0</v>
      </c>
      <c r="AJ128" s="160">
        <v>502.26666666666665</v>
      </c>
      <c r="AK128" s="160">
        <v>502.26666666666665</v>
      </c>
      <c r="AL128" s="161">
        <v>79.150000000000006</v>
      </c>
      <c r="AM128" s="161">
        <v>0.5</v>
      </c>
      <c r="AN128" s="161">
        <v>79.650000000000006</v>
      </c>
      <c r="AO128" s="161">
        <v>502.76666666666665</v>
      </c>
      <c r="AP128" s="162">
        <v>0</v>
      </c>
      <c r="AQ128" s="168">
        <v>0</v>
      </c>
      <c r="AR128" s="160">
        <v>0</v>
      </c>
      <c r="AS128" s="160">
        <v>0</v>
      </c>
      <c r="AT128" s="160">
        <v>0</v>
      </c>
      <c r="AU128" s="160">
        <v>0</v>
      </c>
      <c r="AV128" s="160">
        <v>0</v>
      </c>
      <c r="AW128" s="160">
        <v>0</v>
      </c>
      <c r="AX128" s="160">
        <v>0</v>
      </c>
      <c r="AY128" s="160">
        <v>0</v>
      </c>
      <c r="AZ128" s="160">
        <v>0</v>
      </c>
      <c r="BA128" s="160">
        <v>0</v>
      </c>
      <c r="BB128" s="160">
        <v>0</v>
      </c>
      <c r="BC128" s="160">
        <v>0</v>
      </c>
      <c r="BD128" s="160">
        <v>0</v>
      </c>
      <c r="BE128" s="160">
        <v>0</v>
      </c>
      <c r="BF128" s="160">
        <v>0</v>
      </c>
      <c r="BG128" s="160">
        <v>0</v>
      </c>
      <c r="BH128" s="160">
        <v>0</v>
      </c>
      <c r="BI128" s="160">
        <v>0</v>
      </c>
      <c r="BJ128" s="160">
        <v>0</v>
      </c>
      <c r="BK128" s="160">
        <v>0</v>
      </c>
      <c r="BL128" s="160">
        <v>0</v>
      </c>
      <c r="BM128" s="160">
        <v>0</v>
      </c>
      <c r="BN128" s="162">
        <v>0</v>
      </c>
      <c r="BO128" s="162">
        <v>0</v>
      </c>
      <c r="BP128" s="162">
        <v>0</v>
      </c>
      <c r="BQ128" s="163">
        <v>5.6332158221797379E-2</v>
      </c>
      <c r="BR128" s="164">
        <v>0</v>
      </c>
      <c r="BS128" s="164">
        <v>0</v>
      </c>
      <c r="BT128" s="164">
        <v>0</v>
      </c>
      <c r="BU128" s="164">
        <v>0</v>
      </c>
      <c r="BV128" s="165">
        <v>0</v>
      </c>
      <c r="BW128" s="165">
        <v>0</v>
      </c>
      <c r="BX128" s="166">
        <v>0</v>
      </c>
      <c r="BY128" s="166">
        <v>0</v>
      </c>
      <c r="BZ128" s="166">
        <v>0</v>
      </c>
      <c r="CA128" s="166">
        <v>0</v>
      </c>
      <c r="CB128" s="166">
        <v>0</v>
      </c>
      <c r="CC128" s="166">
        <v>0</v>
      </c>
      <c r="CD128" s="166">
        <v>0</v>
      </c>
      <c r="CE128" s="166">
        <v>0</v>
      </c>
      <c r="CF128" s="166">
        <v>0</v>
      </c>
      <c r="CG128" s="166">
        <v>0</v>
      </c>
      <c r="CH128" s="166">
        <v>0</v>
      </c>
      <c r="CI128" s="166">
        <v>0</v>
      </c>
      <c r="CJ128" s="166">
        <v>0</v>
      </c>
      <c r="CK128" s="166">
        <v>0</v>
      </c>
      <c r="CL128" s="166">
        <v>0</v>
      </c>
      <c r="CM128" s="166">
        <v>0</v>
      </c>
      <c r="CN128" s="166">
        <v>0</v>
      </c>
      <c r="CO128" s="166">
        <v>0</v>
      </c>
      <c r="CP128" s="166">
        <v>0</v>
      </c>
      <c r="CQ128" s="166">
        <v>0</v>
      </c>
      <c r="CR128" s="166">
        <v>0</v>
      </c>
      <c r="CS128" s="166">
        <v>0</v>
      </c>
      <c r="CT128" s="166">
        <v>0</v>
      </c>
      <c r="CU128" s="166">
        <v>0</v>
      </c>
      <c r="CV128" s="166">
        <v>0</v>
      </c>
      <c r="CW128" s="166">
        <v>0</v>
      </c>
      <c r="CX128" s="166">
        <v>0</v>
      </c>
      <c r="CY128" s="166">
        <v>0</v>
      </c>
      <c r="CZ128" s="165">
        <v>0</v>
      </c>
      <c r="DA128" s="165">
        <v>0</v>
      </c>
      <c r="DB128" s="165">
        <v>0</v>
      </c>
      <c r="DC128" s="165">
        <v>0</v>
      </c>
      <c r="DD128" s="165">
        <v>0</v>
      </c>
      <c r="DE128" s="165">
        <v>0</v>
      </c>
      <c r="DF128" s="165">
        <v>0</v>
      </c>
      <c r="DG128" s="165">
        <v>0</v>
      </c>
      <c r="DH128" s="165">
        <v>0</v>
      </c>
      <c r="DI128" s="165">
        <v>0</v>
      </c>
      <c r="DJ128" s="165">
        <v>0</v>
      </c>
      <c r="DK128" s="165">
        <v>0</v>
      </c>
      <c r="DL128" s="165">
        <v>0</v>
      </c>
      <c r="DM128" s="165">
        <v>0</v>
      </c>
      <c r="DN128" s="165">
        <v>0</v>
      </c>
      <c r="DO128" s="165">
        <v>0</v>
      </c>
      <c r="DP128" s="165">
        <v>0</v>
      </c>
      <c r="DQ128" s="165">
        <v>0</v>
      </c>
      <c r="DR128" s="165">
        <v>0</v>
      </c>
      <c r="DS128" s="165">
        <v>0</v>
      </c>
      <c r="DT128" s="165">
        <v>0</v>
      </c>
      <c r="DU128" s="165">
        <v>0</v>
      </c>
      <c r="DV128" s="165">
        <v>0</v>
      </c>
      <c r="DW128" s="165">
        <v>0</v>
      </c>
      <c r="DX128" s="165">
        <v>0</v>
      </c>
      <c r="DY128" s="165">
        <v>0</v>
      </c>
      <c r="DZ128" s="165">
        <v>0</v>
      </c>
      <c r="EA128" s="166">
        <v>0</v>
      </c>
      <c r="EB128" s="166">
        <v>0</v>
      </c>
      <c r="EC128" s="166">
        <v>0</v>
      </c>
      <c r="ED128" s="166">
        <v>0</v>
      </c>
      <c r="EE128" s="166">
        <v>0</v>
      </c>
      <c r="EF128" s="166">
        <v>0</v>
      </c>
      <c r="EG128" s="167">
        <v>0</v>
      </c>
      <c r="EH128" s="165"/>
      <c r="EI128" s="165">
        <v>0</v>
      </c>
      <c r="EJ128" s="165">
        <v>0</v>
      </c>
      <c r="EK128" s="165">
        <v>0</v>
      </c>
      <c r="EL128" s="165">
        <v>0</v>
      </c>
      <c r="EM128" s="165">
        <v>0</v>
      </c>
      <c r="EN128" s="165">
        <v>0</v>
      </c>
      <c r="EO128" s="165">
        <v>0</v>
      </c>
      <c r="EP128" s="165">
        <v>0</v>
      </c>
      <c r="EQ128" s="165">
        <v>0</v>
      </c>
      <c r="ER128" s="165">
        <v>0</v>
      </c>
      <c r="ES128" s="165">
        <v>0</v>
      </c>
      <c r="ET128" s="165">
        <v>0</v>
      </c>
      <c r="EU128" s="166">
        <v>0</v>
      </c>
      <c r="EV128" s="166">
        <v>0</v>
      </c>
      <c r="EW128" s="166">
        <v>0</v>
      </c>
      <c r="EX128" s="166">
        <v>0</v>
      </c>
      <c r="EY128" s="166">
        <v>0</v>
      </c>
      <c r="EZ128" s="166">
        <v>0</v>
      </c>
      <c r="FA128" s="166">
        <v>0</v>
      </c>
      <c r="FB128" s="166">
        <v>0</v>
      </c>
      <c r="FC128" s="166">
        <v>0</v>
      </c>
      <c r="FD128" s="166">
        <v>0</v>
      </c>
      <c r="FE128" s="166">
        <v>0</v>
      </c>
      <c r="FF128" s="166">
        <v>0</v>
      </c>
      <c r="FG128" s="166">
        <v>0</v>
      </c>
      <c r="FH128" s="166">
        <v>0</v>
      </c>
      <c r="FI128" s="166">
        <v>0</v>
      </c>
      <c r="FJ128" s="166">
        <v>0</v>
      </c>
      <c r="FK128" s="166">
        <v>0</v>
      </c>
      <c r="FL128" s="166">
        <v>0</v>
      </c>
      <c r="FM128" s="166">
        <v>0</v>
      </c>
      <c r="FN128" s="166">
        <v>0</v>
      </c>
      <c r="FO128" s="166">
        <v>0</v>
      </c>
      <c r="FP128" s="166">
        <v>0</v>
      </c>
      <c r="FQ128" s="166">
        <v>0</v>
      </c>
      <c r="FR128" s="166">
        <v>0</v>
      </c>
      <c r="FS128" s="166">
        <v>0</v>
      </c>
      <c r="FT128" s="166">
        <v>0</v>
      </c>
      <c r="FU128" s="166">
        <v>0</v>
      </c>
      <c r="FV128" s="166">
        <v>0</v>
      </c>
      <c r="FW128" s="166">
        <v>0</v>
      </c>
      <c r="FX128" s="166">
        <v>0</v>
      </c>
      <c r="FY128" s="166">
        <v>0</v>
      </c>
      <c r="FZ128" s="165">
        <v>0</v>
      </c>
      <c r="GA128" s="165">
        <v>0</v>
      </c>
      <c r="GB128" s="165">
        <v>0</v>
      </c>
      <c r="GC128" s="165">
        <v>0</v>
      </c>
      <c r="GD128" s="165">
        <v>0</v>
      </c>
      <c r="GE128" s="165">
        <v>0</v>
      </c>
      <c r="GF128" s="165">
        <v>0</v>
      </c>
      <c r="GG128" s="165">
        <v>0</v>
      </c>
      <c r="GH128" s="165">
        <v>0</v>
      </c>
      <c r="GI128" s="165">
        <v>0</v>
      </c>
      <c r="GJ128" s="165">
        <v>0</v>
      </c>
      <c r="GK128" s="165">
        <v>0</v>
      </c>
      <c r="GL128" s="165">
        <v>0</v>
      </c>
      <c r="GM128" s="165">
        <v>0</v>
      </c>
      <c r="GN128" s="165">
        <v>0</v>
      </c>
      <c r="GO128" s="165">
        <v>0</v>
      </c>
      <c r="GP128" s="165">
        <v>0</v>
      </c>
      <c r="GQ128" s="165">
        <v>0</v>
      </c>
      <c r="GR128" s="165">
        <v>0</v>
      </c>
      <c r="GS128" s="165">
        <v>0</v>
      </c>
      <c r="GT128" s="165">
        <v>0</v>
      </c>
      <c r="GU128" s="165">
        <v>0</v>
      </c>
      <c r="GV128" s="165">
        <v>0</v>
      </c>
      <c r="GW128" s="165">
        <v>0</v>
      </c>
      <c r="GX128" s="165">
        <v>0</v>
      </c>
      <c r="GY128" s="165">
        <v>0</v>
      </c>
      <c r="GZ128" s="165">
        <v>0</v>
      </c>
      <c r="HA128" s="165">
        <v>0</v>
      </c>
      <c r="HB128" s="166">
        <v>0</v>
      </c>
      <c r="HC128" s="166">
        <v>0</v>
      </c>
      <c r="HD128" s="166">
        <v>0</v>
      </c>
      <c r="HE128" s="166">
        <v>0</v>
      </c>
      <c r="HF128" s="166"/>
      <c r="HG128" s="166">
        <v>0</v>
      </c>
      <c r="HH128" s="166">
        <v>0</v>
      </c>
      <c r="HI128" s="166">
        <v>0</v>
      </c>
      <c r="HJ128" s="166">
        <v>0</v>
      </c>
      <c r="HK128" s="166">
        <v>0</v>
      </c>
      <c r="HL128" s="166">
        <v>0</v>
      </c>
      <c r="HM128" s="166">
        <v>0</v>
      </c>
      <c r="HN128" s="166">
        <v>0</v>
      </c>
      <c r="HO128" s="166">
        <v>0</v>
      </c>
      <c r="HP128" s="166">
        <v>0</v>
      </c>
      <c r="HQ128" s="166">
        <v>0</v>
      </c>
      <c r="HR128" s="166">
        <v>0</v>
      </c>
      <c r="HS128" s="166">
        <v>0</v>
      </c>
      <c r="HT128" s="166">
        <f>FY26_FE_Data_April15[[#This Row],[Oct 1, 2026 (CDC) - K]]+FY26_FE_Data_April15[[#This Row],[Oct 1, 2026 (CDC) - Grades 1-6]]+FY26_FE_Data_April15[[#This Row],[Oct 1, 2026 (CDC) - Grades 7-8]]</f>
        <v>0</v>
      </c>
      <c r="HU128" s="166">
        <v>0</v>
      </c>
      <c r="HW128" s="170"/>
      <c r="HY128" s="170"/>
    </row>
    <row r="129" spans="1:233" ht="39">
      <c r="A129" s="158" t="s">
        <v>599</v>
      </c>
      <c r="B129" s="159" t="s">
        <v>600</v>
      </c>
      <c r="C129" s="160" t="s">
        <v>601</v>
      </c>
      <c r="D129" s="160" t="s">
        <v>139</v>
      </c>
      <c r="E129" s="159" t="s">
        <v>784</v>
      </c>
      <c r="F129" s="159" t="s">
        <v>784</v>
      </c>
      <c r="G129" s="159"/>
      <c r="H129" s="161">
        <v>39.161111111111111</v>
      </c>
      <c r="I129" s="161">
        <v>0</v>
      </c>
      <c r="J129" s="161">
        <v>39.161111111111111</v>
      </c>
      <c r="K129" s="162">
        <v>35</v>
      </c>
      <c r="L129" s="162">
        <v>208</v>
      </c>
      <c r="M129" s="162">
        <v>73</v>
      </c>
      <c r="N129" s="162">
        <v>0</v>
      </c>
      <c r="O129" s="162">
        <v>316</v>
      </c>
      <c r="P129" s="162">
        <v>281</v>
      </c>
      <c r="Q129" s="162">
        <v>316</v>
      </c>
      <c r="R129" s="162">
        <v>0</v>
      </c>
      <c r="S129" s="160">
        <v>33.18333333333333</v>
      </c>
      <c r="T129" s="160">
        <v>32.866666666666667</v>
      </c>
      <c r="U129" s="160">
        <v>32.888888888888886</v>
      </c>
      <c r="V129" s="160">
        <v>36.072222222222223</v>
      </c>
      <c r="W129" s="160">
        <v>30.25</v>
      </c>
      <c r="X129" s="160">
        <v>29.583333333333332</v>
      </c>
      <c r="Y129" s="160">
        <v>42.838888888888889</v>
      </c>
      <c r="Z129" s="160">
        <v>31.488888888888887</v>
      </c>
      <c r="AA129" s="160">
        <v>42.533333333333331</v>
      </c>
      <c r="AB129" s="160">
        <v>0</v>
      </c>
      <c r="AC129" s="160">
        <v>0</v>
      </c>
      <c r="AD129" s="160">
        <v>0</v>
      </c>
      <c r="AE129" s="160">
        <v>0</v>
      </c>
      <c r="AF129" s="160">
        <v>204.5</v>
      </c>
      <c r="AG129" s="160">
        <v>74.022222222222211</v>
      </c>
      <c r="AH129" s="160">
        <v>0</v>
      </c>
      <c r="AI129" s="160">
        <v>311.70555555555552</v>
      </c>
      <c r="AJ129" s="160">
        <v>278.52222222222224</v>
      </c>
      <c r="AK129" s="160">
        <v>311.70555555555552</v>
      </c>
      <c r="AL129" s="161">
        <v>36.288888888888891</v>
      </c>
      <c r="AM129" s="161">
        <v>0</v>
      </c>
      <c r="AN129" s="161">
        <v>36.288888888888891</v>
      </c>
      <c r="AO129" s="161">
        <v>311.70555555555552</v>
      </c>
      <c r="AP129" s="162">
        <v>29</v>
      </c>
      <c r="AQ129" s="168">
        <v>38</v>
      </c>
      <c r="AR129" s="160">
        <v>29</v>
      </c>
      <c r="AS129" s="160">
        <v>36</v>
      </c>
      <c r="AT129" s="160">
        <v>35</v>
      </c>
      <c r="AU129" s="160">
        <v>32</v>
      </c>
      <c r="AV129" s="160">
        <v>30</v>
      </c>
      <c r="AW129" s="160">
        <v>41</v>
      </c>
      <c r="AX129" s="160">
        <v>30</v>
      </c>
      <c r="AY129" s="160">
        <v>0</v>
      </c>
      <c r="AZ129" s="160">
        <v>0</v>
      </c>
      <c r="BA129" s="160">
        <v>0</v>
      </c>
      <c r="BB129" s="160">
        <v>0</v>
      </c>
      <c r="BC129" s="160">
        <v>200</v>
      </c>
      <c r="BD129" s="160">
        <v>71</v>
      </c>
      <c r="BE129" s="160">
        <v>0</v>
      </c>
      <c r="BF129" s="160">
        <v>300</v>
      </c>
      <c r="BG129" s="160">
        <v>271</v>
      </c>
      <c r="BH129" s="160">
        <v>300</v>
      </c>
      <c r="BI129" s="160">
        <v>29</v>
      </c>
      <c r="BJ129" s="160">
        <v>0</v>
      </c>
      <c r="BK129" s="160">
        <v>0</v>
      </c>
      <c r="BL129" s="160">
        <v>168</v>
      </c>
      <c r="BM129" s="160">
        <v>29</v>
      </c>
      <c r="BN129" s="162">
        <v>0</v>
      </c>
      <c r="BO129" s="162">
        <v>29</v>
      </c>
      <c r="BP129" s="162">
        <v>102</v>
      </c>
      <c r="BQ129" s="163">
        <v>6.0576923076923028E-2</v>
      </c>
      <c r="BR129" s="164">
        <v>19</v>
      </c>
      <c r="BS129" s="164">
        <v>19</v>
      </c>
      <c r="BT129" s="164">
        <v>17</v>
      </c>
      <c r="BU129" s="164">
        <v>18</v>
      </c>
      <c r="BV129" s="165">
        <v>0</v>
      </c>
      <c r="BW129" s="165">
        <v>0</v>
      </c>
      <c r="BX129" s="166">
        <v>0</v>
      </c>
      <c r="BY129" s="166">
        <v>0</v>
      </c>
      <c r="BZ129" s="166">
        <v>26.383333</v>
      </c>
      <c r="CA129" s="166">
        <v>26.383333333333333</v>
      </c>
      <c r="CB129" s="166">
        <v>35.394444444444446</v>
      </c>
      <c r="CC129" s="166">
        <v>28.172222222222221</v>
      </c>
      <c r="CD129" s="166">
        <v>33.472222222222221</v>
      </c>
      <c r="CE129" s="166">
        <v>34.35</v>
      </c>
      <c r="CF129" s="166">
        <v>29.944444444444443</v>
      </c>
      <c r="CG129" s="166">
        <v>30.572222222222223</v>
      </c>
      <c r="CH129" s="166">
        <v>40.216666666666669</v>
      </c>
      <c r="CI129" s="166">
        <v>28.872222222222224</v>
      </c>
      <c r="CJ129" s="166">
        <v>0</v>
      </c>
      <c r="CK129" s="166">
        <v>0</v>
      </c>
      <c r="CL129" s="166">
        <v>0</v>
      </c>
      <c r="CM129" s="166">
        <v>0</v>
      </c>
      <c r="CN129" s="166">
        <v>191.90555555555554</v>
      </c>
      <c r="CO129" s="166">
        <v>69.088888888888889</v>
      </c>
      <c r="CP129" s="166">
        <v>0</v>
      </c>
      <c r="CQ129" s="166">
        <v>287.37777777777774</v>
      </c>
      <c r="CR129" s="166">
        <v>260.99444444444441</v>
      </c>
      <c r="CS129" s="166">
        <v>287.37777777777774</v>
      </c>
      <c r="CT129" s="166">
        <v>30.977777777777799</v>
      </c>
      <c r="CU129" s="166">
        <v>0</v>
      </c>
      <c r="CV129" s="166">
        <v>30.977777777777799</v>
      </c>
      <c r="CW129" s="166">
        <v>287.37777777777774</v>
      </c>
      <c r="CX129" s="166">
        <v>0</v>
      </c>
      <c r="CY129" s="166">
        <v>32</v>
      </c>
      <c r="CZ129" s="165">
        <v>0</v>
      </c>
      <c r="DA129" s="165">
        <v>32</v>
      </c>
      <c r="DB129" s="165">
        <v>34</v>
      </c>
      <c r="DC129" s="165">
        <v>42</v>
      </c>
      <c r="DD129" s="165">
        <v>34</v>
      </c>
      <c r="DE129" s="165">
        <v>37</v>
      </c>
      <c r="DF129" s="165">
        <v>34</v>
      </c>
      <c r="DG129" s="165">
        <v>34</v>
      </c>
      <c r="DH129" s="165">
        <v>36</v>
      </c>
      <c r="DI129" s="165">
        <v>45</v>
      </c>
      <c r="DJ129" s="165">
        <v>0</v>
      </c>
      <c r="DK129" s="165">
        <v>0</v>
      </c>
      <c r="DL129" s="165">
        <v>0</v>
      </c>
      <c r="DM129" s="165">
        <v>0</v>
      </c>
      <c r="DN129" s="165">
        <v>215</v>
      </c>
      <c r="DO129" s="165">
        <v>81</v>
      </c>
      <c r="DP129" s="165">
        <v>0</v>
      </c>
      <c r="DQ129" s="165">
        <v>328</v>
      </c>
      <c r="DR129" s="165">
        <v>296</v>
      </c>
      <c r="DS129" s="165">
        <v>328</v>
      </c>
      <c r="DT129" s="165">
        <v>0</v>
      </c>
      <c r="DU129" s="165">
        <v>138</v>
      </c>
      <c r="DV129" s="165">
        <v>39</v>
      </c>
      <c r="DW129" s="165">
        <v>0</v>
      </c>
      <c r="DX129" s="165">
        <v>39</v>
      </c>
      <c r="DY129" s="165">
        <v>328</v>
      </c>
      <c r="DZ129" s="165">
        <v>102</v>
      </c>
      <c r="EA129" s="166">
        <v>17</v>
      </c>
      <c r="EB129" s="166">
        <v>17</v>
      </c>
      <c r="EC129" s="166">
        <v>11</v>
      </c>
      <c r="ED129" s="166">
        <v>4</v>
      </c>
      <c r="EE129" s="166">
        <v>0</v>
      </c>
      <c r="EF129" s="166">
        <v>19</v>
      </c>
      <c r="EG129" s="167">
        <v>7.1969696969696961E-2</v>
      </c>
      <c r="EH129" s="165"/>
      <c r="EI129" s="165">
        <v>32</v>
      </c>
      <c r="EJ129" s="165">
        <v>294</v>
      </c>
      <c r="EK129" s="165">
        <v>220</v>
      </c>
      <c r="EL129" s="165">
        <v>74</v>
      </c>
      <c r="EM129" s="165">
        <v>0</v>
      </c>
      <c r="EN129" s="165">
        <v>326</v>
      </c>
      <c r="EO129" s="165">
        <v>0</v>
      </c>
      <c r="EP129" s="165">
        <v>39</v>
      </c>
      <c r="EQ129" s="165">
        <v>39</v>
      </c>
      <c r="ER129" s="165">
        <v>39</v>
      </c>
      <c r="ES129" s="165">
        <v>0</v>
      </c>
      <c r="ET129" s="165">
        <v>4</v>
      </c>
      <c r="EU129" s="166">
        <v>22.1</v>
      </c>
      <c r="EV129" s="166">
        <v>0</v>
      </c>
      <c r="EW129" s="166">
        <v>2.0499999999999998</v>
      </c>
      <c r="EX129" s="166">
        <v>1.19</v>
      </c>
      <c r="EY129" s="166">
        <v>4.42</v>
      </c>
      <c r="EZ129" s="166">
        <v>29.760000000000005</v>
      </c>
      <c r="FA129" s="166">
        <v>0</v>
      </c>
      <c r="FB129" s="166">
        <v>33.277777777777779</v>
      </c>
      <c r="FC129" s="166">
        <v>33.277777777777779</v>
      </c>
      <c r="FD129" s="166">
        <v>29.85</v>
      </c>
      <c r="FE129" s="166">
        <v>39.727777777777774</v>
      </c>
      <c r="FF129" s="166">
        <v>33.833333333333336</v>
      </c>
      <c r="FG129" s="166">
        <v>35.950000000000003</v>
      </c>
      <c r="FH129" s="166">
        <v>35.161111111111111</v>
      </c>
      <c r="FI129" s="166">
        <v>34.12222222222222</v>
      </c>
      <c r="FJ129" s="166">
        <v>36.355555555555554</v>
      </c>
      <c r="FK129" s="166">
        <v>42.455555555555556</v>
      </c>
      <c r="FL129" s="166">
        <v>0</v>
      </c>
      <c r="FM129" s="166">
        <v>0</v>
      </c>
      <c r="FN129" s="166">
        <v>0</v>
      </c>
      <c r="FO129" s="166">
        <v>0</v>
      </c>
      <c r="FP129" s="166">
        <v>208.64444444444445</v>
      </c>
      <c r="FQ129" s="166">
        <v>78.811111111111103</v>
      </c>
      <c r="FR129" s="166">
        <v>0</v>
      </c>
      <c r="FS129" s="166">
        <v>320.73333333333335</v>
      </c>
      <c r="FT129" s="166">
        <v>287.45555555555558</v>
      </c>
      <c r="FU129" s="166">
        <v>320.73333333333335</v>
      </c>
      <c r="FV129" s="166">
        <v>38.422222222222224</v>
      </c>
      <c r="FW129" s="166">
        <v>0</v>
      </c>
      <c r="FX129" s="166">
        <v>38.422222222222224</v>
      </c>
      <c r="FY129" s="166">
        <v>320.73333333333335</v>
      </c>
      <c r="FZ129" s="165">
        <v>0</v>
      </c>
      <c r="GA129" s="165">
        <v>35</v>
      </c>
      <c r="GB129" s="165">
        <v>35</v>
      </c>
      <c r="GC129" s="165">
        <v>36</v>
      </c>
      <c r="GD129" s="165">
        <v>40</v>
      </c>
      <c r="GE129" s="165">
        <v>45</v>
      </c>
      <c r="GF129" s="165">
        <v>38</v>
      </c>
      <c r="GG129" s="165">
        <v>38</v>
      </c>
      <c r="GH129" s="165">
        <v>40</v>
      </c>
      <c r="GI129" s="165">
        <v>44</v>
      </c>
      <c r="GJ129" s="165">
        <v>40</v>
      </c>
      <c r="GK129" s="165">
        <v>0</v>
      </c>
      <c r="GL129" s="165">
        <v>0</v>
      </c>
      <c r="GM129" s="165">
        <v>0</v>
      </c>
      <c r="GN129" s="165">
        <v>0</v>
      </c>
      <c r="GO129" s="165">
        <v>237</v>
      </c>
      <c r="GP129" s="165">
        <v>84</v>
      </c>
      <c r="GQ129" s="165">
        <v>0</v>
      </c>
      <c r="GR129" s="165">
        <v>356</v>
      </c>
      <c r="GS129" s="165">
        <v>321</v>
      </c>
      <c r="GT129" s="165">
        <v>356</v>
      </c>
      <c r="GU129" s="165">
        <v>0</v>
      </c>
      <c r="GV129" s="165">
        <v>132</v>
      </c>
      <c r="GW129" s="165">
        <v>37</v>
      </c>
      <c r="GX129" s="165">
        <v>1</v>
      </c>
      <c r="GY129" s="165">
        <v>38</v>
      </c>
      <c r="GZ129" s="165">
        <v>357</v>
      </c>
      <c r="HA129" s="165">
        <v>90</v>
      </c>
      <c r="HB129" s="166">
        <v>15</v>
      </c>
      <c r="HC129" s="166">
        <v>15</v>
      </c>
      <c r="HD129" s="166">
        <v>10</v>
      </c>
      <c r="HE129" s="166">
        <v>3</v>
      </c>
      <c r="HF129" s="166"/>
      <c r="HG129" s="166">
        <v>17</v>
      </c>
      <c r="HH129" s="166">
        <v>0</v>
      </c>
      <c r="HI129" s="166">
        <v>38</v>
      </c>
      <c r="HJ129" s="166">
        <v>38</v>
      </c>
      <c r="HK129" s="166">
        <v>36</v>
      </c>
      <c r="HL129" s="166">
        <v>2</v>
      </c>
      <c r="HM129" s="166">
        <v>4</v>
      </c>
      <c r="HN129" s="166">
        <v>36</v>
      </c>
      <c r="HO129" s="166">
        <v>320</v>
      </c>
      <c r="HP129" s="166">
        <v>235</v>
      </c>
      <c r="HQ129" s="166">
        <v>85</v>
      </c>
      <c r="HR129" s="166">
        <v>0</v>
      </c>
      <c r="HS129" s="166">
        <v>356</v>
      </c>
      <c r="HT129" s="166">
        <f>FY26_FE_Data_April15[[#This Row],[Oct 1, 2026 (CDC) - K]]+FY26_FE_Data_April15[[#This Row],[Oct 1, 2026 (CDC) - Grades 1-6]]+FY26_FE_Data_April15[[#This Row],[Oct 1, 2026 (CDC) - Grades 7-8]]</f>
        <v>356</v>
      </c>
      <c r="HU129" s="166">
        <v>0</v>
      </c>
      <c r="HW129" s="170"/>
      <c r="HY129" s="170"/>
    </row>
    <row r="130" spans="1:233" ht="52">
      <c r="A130" s="158" t="s">
        <v>602</v>
      </c>
      <c r="B130" s="159" t="s">
        <v>603</v>
      </c>
      <c r="C130" s="160" t="s">
        <v>604</v>
      </c>
      <c r="D130" s="160" t="s">
        <v>139</v>
      </c>
      <c r="E130" s="159" t="s">
        <v>785</v>
      </c>
      <c r="F130" s="159" t="s">
        <v>784</v>
      </c>
      <c r="G130" s="159" t="s">
        <v>784</v>
      </c>
      <c r="H130" s="161">
        <v>8.3722222222222218</v>
      </c>
      <c r="I130" s="161">
        <v>0</v>
      </c>
      <c r="J130" s="161">
        <v>8.3722222222222218</v>
      </c>
      <c r="K130" s="162">
        <v>16</v>
      </c>
      <c r="L130" s="162">
        <v>0</v>
      </c>
      <c r="M130" s="162">
        <v>0</v>
      </c>
      <c r="N130" s="162">
        <v>0</v>
      </c>
      <c r="O130" s="162">
        <v>16</v>
      </c>
      <c r="P130" s="162">
        <v>0</v>
      </c>
      <c r="Q130" s="162">
        <v>16</v>
      </c>
      <c r="R130" s="162">
        <v>0</v>
      </c>
      <c r="S130" s="160">
        <v>16.855555555555554</v>
      </c>
      <c r="T130" s="160">
        <v>0</v>
      </c>
      <c r="U130" s="160">
        <v>0</v>
      </c>
      <c r="V130" s="160">
        <v>0</v>
      </c>
      <c r="W130" s="160">
        <v>0</v>
      </c>
      <c r="X130" s="160">
        <v>0</v>
      </c>
      <c r="Y130" s="160">
        <v>0</v>
      </c>
      <c r="Z130" s="160">
        <v>0</v>
      </c>
      <c r="AA130" s="160">
        <v>0</v>
      </c>
      <c r="AB130" s="160">
        <v>0</v>
      </c>
      <c r="AC130" s="160">
        <v>0</v>
      </c>
      <c r="AD130" s="160">
        <v>0</v>
      </c>
      <c r="AE130" s="160">
        <v>0</v>
      </c>
      <c r="AF130" s="160">
        <v>0</v>
      </c>
      <c r="AG130" s="160">
        <v>0</v>
      </c>
      <c r="AH130" s="160">
        <v>0</v>
      </c>
      <c r="AI130" s="160">
        <v>16.855555555555554</v>
      </c>
      <c r="AJ130" s="160">
        <v>0</v>
      </c>
      <c r="AK130" s="160">
        <v>16.855555555555554</v>
      </c>
      <c r="AL130" s="161">
        <v>4.7944444444444443</v>
      </c>
      <c r="AM130" s="161">
        <v>0</v>
      </c>
      <c r="AN130" s="161">
        <v>4.7944444444444443</v>
      </c>
      <c r="AO130" s="161">
        <v>16.855555555555554</v>
      </c>
      <c r="AP130" s="162">
        <v>0</v>
      </c>
      <c r="AQ130" s="168">
        <v>0</v>
      </c>
      <c r="AR130" s="160">
        <v>0</v>
      </c>
      <c r="AS130" s="160">
        <v>0</v>
      </c>
      <c r="AT130" s="160">
        <v>0</v>
      </c>
      <c r="AU130" s="160">
        <v>0</v>
      </c>
      <c r="AV130" s="160">
        <v>0</v>
      </c>
      <c r="AW130" s="160">
        <v>0</v>
      </c>
      <c r="AX130" s="160">
        <v>0</v>
      </c>
      <c r="AY130" s="160">
        <v>0</v>
      </c>
      <c r="AZ130" s="160">
        <v>0</v>
      </c>
      <c r="BA130" s="160">
        <v>0</v>
      </c>
      <c r="BB130" s="160">
        <v>0</v>
      </c>
      <c r="BC130" s="160">
        <v>0</v>
      </c>
      <c r="BD130" s="160">
        <v>0</v>
      </c>
      <c r="BE130" s="160">
        <v>0</v>
      </c>
      <c r="BF130" s="160">
        <v>0</v>
      </c>
      <c r="BG130" s="160">
        <v>0</v>
      </c>
      <c r="BH130" s="160">
        <v>0</v>
      </c>
      <c r="BI130" s="160">
        <v>0</v>
      </c>
      <c r="BJ130" s="160">
        <v>0</v>
      </c>
      <c r="BK130" s="160">
        <v>0</v>
      </c>
      <c r="BL130" s="160">
        <v>0</v>
      </c>
      <c r="BM130" s="160">
        <v>0</v>
      </c>
      <c r="BN130" s="162">
        <v>0</v>
      </c>
      <c r="BO130" s="162">
        <v>0</v>
      </c>
      <c r="BP130" s="162">
        <v>0</v>
      </c>
      <c r="BQ130" s="163">
        <v>9.9999999999999978E-2</v>
      </c>
      <c r="BR130" s="164">
        <v>0</v>
      </c>
      <c r="BS130" s="164">
        <v>0</v>
      </c>
      <c r="BT130" s="164">
        <v>0</v>
      </c>
      <c r="BU130" s="164">
        <v>0</v>
      </c>
      <c r="BV130" s="165">
        <v>0</v>
      </c>
      <c r="BW130" s="165">
        <v>0</v>
      </c>
      <c r="BX130" s="166">
        <v>0</v>
      </c>
      <c r="BY130" s="166">
        <v>0</v>
      </c>
      <c r="BZ130" s="166">
        <v>0</v>
      </c>
      <c r="CA130" s="166">
        <v>0</v>
      </c>
      <c r="CB130" s="166">
        <v>0</v>
      </c>
      <c r="CC130" s="166">
        <v>0</v>
      </c>
      <c r="CD130" s="166">
        <v>0</v>
      </c>
      <c r="CE130" s="166">
        <v>0</v>
      </c>
      <c r="CF130" s="166">
        <v>0</v>
      </c>
      <c r="CG130" s="166">
        <v>0</v>
      </c>
      <c r="CH130" s="166">
        <v>0</v>
      </c>
      <c r="CI130" s="166">
        <v>0</v>
      </c>
      <c r="CJ130" s="166">
        <v>0</v>
      </c>
      <c r="CK130" s="166">
        <v>0</v>
      </c>
      <c r="CL130" s="166">
        <v>0</v>
      </c>
      <c r="CM130" s="166">
        <v>0</v>
      </c>
      <c r="CN130" s="166">
        <v>0</v>
      </c>
      <c r="CO130" s="166">
        <v>0</v>
      </c>
      <c r="CP130" s="166">
        <v>0</v>
      </c>
      <c r="CQ130" s="166">
        <v>0</v>
      </c>
      <c r="CR130" s="166">
        <v>0</v>
      </c>
      <c r="CS130" s="166">
        <v>0</v>
      </c>
      <c r="CT130" s="166">
        <v>0</v>
      </c>
      <c r="CU130" s="166">
        <v>0</v>
      </c>
      <c r="CV130" s="166">
        <v>0</v>
      </c>
      <c r="CW130" s="166">
        <v>0</v>
      </c>
      <c r="CX130" s="166">
        <v>0</v>
      </c>
      <c r="CY130" s="166">
        <v>0</v>
      </c>
      <c r="CZ130" s="165">
        <v>0</v>
      </c>
      <c r="DA130" s="165">
        <v>0</v>
      </c>
      <c r="DB130" s="165">
        <v>0</v>
      </c>
      <c r="DC130" s="165">
        <v>0</v>
      </c>
      <c r="DD130" s="165">
        <v>0</v>
      </c>
      <c r="DE130" s="165">
        <v>0</v>
      </c>
      <c r="DF130" s="165">
        <v>0</v>
      </c>
      <c r="DG130" s="165">
        <v>0</v>
      </c>
      <c r="DH130" s="165">
        <v>0</v>
      </c>
      <c r="DI130" s="165">
        <v>0</v>
      </c>
      <c r="DJ130" s="165">
        <v>0</v>
      </c>
      <c r="DK130" s="165">
        <v>0</v>
      </c>
      <c r="DL130" s="165">
        <v>0</v>
      </c>
      <c r="DM130" s="165">
        <v>0</v>
      </c>
      <c r="DN130" s="165">
        <v>0</v>
      </c>
      <c r="DO130" s="165">
        <v>0</v>
      </c>
      <c r="DP130" s="165">
        <v>0</v>
      </c>
      <c r="DQ130" s="165">
        <v>0</v>
      </c>
      <c r="DR130" s="165">
        <v>0</v>
      </c>
      <c r="DS130" s="165">
        <v>0</v>
      </c>
      <c r="DT130" s="165">
        <v>0</v>
      </c>
      <c r="DU130" s="165">
        <v>0</v>
      </c>
      <c r="DV130" s="165">
        <v>0</v>
      </c>
      <c r="DW130" s="165">
        <v>0</v>
      </c>
      <c r="DX130" s="165">
        <v>0</v>
      </c>
      <c r="DY130" s="165">
        <v>0</v>
      </c>
      <c r="DZ130" s="165">
        <v>0</v>
      </c>
      <c r="EA130" s="166">
        <v>0</v>
      </c>
      <c r="EB130" s="166">
        <v>0</v>
      </c>
      <c r="EC130" s="166">
        <v>0</v>
      </c>
      <c r="ED130" s="166">
        <v>0</v>
      </c>
      <c r="EE130" s="166">
        <v>0</v>
      </c>
      <c r="EF130" s="166">
        <v>0</v>
      </c>
      <c r="EG130" s="167">
        <v>0</v>
      </c>
      <c r="EH130" s="165"/>
      <c r="EI130" s="165">
        <v>40</v>
      </c>
      <c r="EJ130" s="165">
        <v>0</v>
      </c>
      <c r="EK130" s="165">
        <v>0</v>
      </c>
      <c r="EL130" s="165">
        <v>0</v>
      </c>
      <c r="EM130" s="165">
        <v>0</v>
      </c>
      <c r="EN130" s="165">
        <v>40</v>
      </c>
      <c r="EO130" s="165">
        <v>0</v>
      </c>
      <c r="EP130" s="165">
        <v>0</v>
      </c>
      <c r="EQ130" s="165">
        <v>0</v>
      </c>
      <c r="ER130" s="165">
        <v>0</v>
      </c>
      <c r="ES130" s="165">
        <v>0</v>
      </c>
      <c r="ET130" s="165">
        <v>0</v>
      </c>
      <c r="EU130" s="166">
        <v>0</v>
      </c>
      <c r="EV130" s="166">
        <v>0</v>
      </c>
      <c r="EW130" s="166">
        <v>0</v>
      </c>
      <c r="EX130" s="166">
        <v>0</v>
      </c>
      <c r="EY130" s="166">
        <v>0</v>
      </c>
      <c r="EZ130" s="166">
        <v>0</v>
      </c>
      <c r="FA130" s="166">
        <v>0</v>
      </c>
      <c r="FB130" s="166">
        <v>0</v>
      </c>
      <c r="FC130" s="166">
        <v>0</v>
      </c>
      <c r="FD130" s="166">
        <v>0</v>
      </c>
      <c r="FE130" s="166">
        <v>0</v>
      </c>
      <c r="FF130" s="166">
        <v>0</v>
      </c>
      <c r="FG130" s="166">
        <v>0</v>
      </c>
      <c r="FH130" s="166">
        <v>0</v>
      </c>
      <c r="FI130" s="166">
        <v>0</v>
      </c>
      <c r="FJ130" s="166">
        <v>0</v>
      </c>
      <c r="FK130" s="166">
        <v>0</v>
      </c>
      <c r="FL130" s="166">
        <v>0</v>
      </c>
      <c r="FM130" s="166">
        <v>0</v>
      </c>
      <c r="FN130" s="166">
        <v>0</v>
      </c>
      <c r="FO130" s="166">
        <v>0</v>
      </c>
      <c r="FP130" s="166">
        <v>0</v>
      </c>
      <c r="FQ130" s="166">
        <v>0</v>
      </c>
      <c r="FR130" s="166">
        <v>0</v>
      </c>
      <c r="FS130" s="166">
        <v>0</v>
      </c>
      <c r="FT130" s="166">
        <v>0</v>
      </c>
      <c r="FU130" s="166">
        <v>0</v>
      </c>
      <c r="FV130" s="166">
        <v>0</v>
      </c>
      <c r="FW130" s="166">
        <v>0</v>
      </c>
      <c r="FX130" s="166">
        <v>0</v>
      </c>
      <c r="FY130" s="166">
        <v>0</v>
      </c>
      <c r="FZ130" s="165">
        <v>0</v>
      </c>
      <c r="GA130" s="165">
        <v>12</v>
      </c>
      <c r="GB130" s="165">
        <v>12</v>
      </c>
      <c r="GC130" s="165">
        <v>0</v>
      </c>
      <c r="GD130" s="165">
        <v>0</v>
      </c>
      <c r="GE130" s="165">
        <v>0</v>
      </c>
      <c r="GF130" s="165">
        <v>0</v>
      </c>
      <c r="GG130" s="165">
        <v>0</v>
      </c>
      <c r="GH130" s="165">
        <v>0</v>
      </c>
      <c r="GI130" s="165">
        <v>0</v>
      </c>
      <c r="GJ130" s="165">
        <v>0</v>
      </c>
      <c r="GK130" s="165">
        <v>0</v>
      </c>
      <c r="GL130" s="165">
        <v>0</v>
      </c>
      <c r="GM130" s="165">
        <v>0</v>
      </c>
      <c r="GN130" s="165">
        <v>0</v>
      </c>
      <c r="GO130" s="165">
        <v>0</v>
      </c>
      <c r="GP130" s="165">
        <v>0</v>
      </c>
      <c r="GQ130" s="165">
        <v>0</v>
      </c>
      <c r="GR130" s="165">
        <v>12</v>
      </c>
      <c r="GS130" s="165">
        <v>0</v>
      </c>
      <c r="GT130" s="165">
        <v>12</v>
      </c>
      <c r="GU130" s="165">
        <v>0</v>
      </c>
      <c r="GV130" s="165">
        <v>0</v>
      </c>
      <c r="GW130" s="165">
        <v>1</v>
      </c>
      <c r="GX130" s="165">
        <v>0</v>
      </c>
      <c r="GY130" s="165">
        <v>1</v>
      </c>
      <c r="GZ130" s="165">
        <v>12</v>
      </c>
      <c r="HA130" s="165">
        <v>0</v>
      </c>
      <c r="HB130" s="166">
        <v>1</v>
      </c>
      <c r="HC130" s="166">
        <v>1</v>
      </c>
      <c r="HD130" s="166">
        <v>1</v>
      </c>
      <c r="HE130" s="166">
        <v>0</v>
      </c>
      <c r="HF130" s="166"/>
      <c r="HG130" s="166">
        <v>1</v>
      </c>
      <c r="HH130" s="166">
        <v>0</v>
      </c>
      <c r="HI130" s="166">
        <v>1</v>
      </c>
      <c r="HJ130" s="166">
        <v>1</v>
      </c>
      <c r="HK130" s="166">
        <v>1</v>
      </c>
      <c r="HL130" s="166">
        <v>0</v>
      </c>
      <c r="HM130" s="166">
        <v>0</v>
      </c>
      <c r="HN130" s="166">
        <v>20</v>
      </c>
      <c r="HO130" s="166">
        <v>0</v>
      </c>
      <c r="HP130" s="166">
        <v>0</v>
      </c>
      <c r="HQ130" s="166">
        <v>0</v>
      </c>
      <c r="HR130" s="166">
        <v>0</v>
      </c>
      <c r="HS130" s="166">
        <v>20</v>
      </c>
      <c r="HT130" s="166">
        <f>FY26_FE_Data_April15[[#This Row],[Oct 1, 2026 (CDC) - K]]+FY26_FE_Data_April15[[#This Row],[Oct 1, 2026 (CDC) - Grades 1-6]]+FY26_FE_Data_April15[[#This Row],[Oct 1, 2026 (CDC) - Grades 7-8]]</f>
        <v>20</v>
      </c>
      <c r="HU130" s="166">
        <v>0</v>
      </c>
      <c r="HW130" s="170"/>
      <c r="HY130" s="170"/>
    </row>
    <row r="131" spans="1:233" ht="39">
      <c r="A131" s="158" t="s">
        <v>605</v>
      </c>
      <c r="B131" s="159" t="s">
        <v>606</v>
      </c>
      <c r="C131" s="160" t="s">
        <v>607</v>
      </c>
      <c r="D131" s="160" t="s">
        <v>139</v>
      </c>
      <c r="E131" s="159" t="s">
        <v>784</v>
      </c>
      <c r="F131" s="159" t="s">
        <v>784</v>
      </c>
      <c r="G131" s="159"/>
      <c r="H131" s="161">
        <v>65.844444444444449</v>
      </c>
      <c r="I131" s="161">
        <v>0</v>
      </c>
      <c r="J131" s="161">
        <v>65.844444444444449</v>
      </c>
      <c r="K131" s="162">
        <v>43</v>
      </c>
      <c r="L131" s="162">
        <v>261</v>
      </c>
      <c r="M131" s="162">
        <v>64</v>
      </c>
      <c r="N131" s="162">
        <v>0</v>
      </c>
      <c r="O131" s="162">
        <v>368</v>
      </c>
      <c r="P131" s="162">
        <v>325</v>
      </c>
      <c r="Q131" s="162">
        <v>368</v>
      </c>
      <c r="R131" s="162">
        <v>0</v>
      </c>
      <c r="S131" s="160">
        <v>43.838888888888889</v>
      </c>
      <c r="T131" s="160">
        <v>47.983333333333334</v>
      </c>
      <c r="U131" s="160">
        <v>41.93888888888889</v>
      </c>
      <c r="V131" s="160">
        <v>45.444444444444443</v>
      </c>
      <c r="W131" s="160">
        <v>47.611111111111114</v>
      </c>
      <c r="X131" s="160">
        <v>34.966666666666669</v>
      </c>
      <c r="Y131" s="160">
        <v>38.544444444444444</v>
      </c>
      <c r="Z131" s="160">
        <v>37.450000000000003</v>
      </c>
      <c r="AA131" s="160">
        <v>27.366666666666667</v>
      </c>
      <c r="AB131" s="160">
        <v>0</v>
      </c>
      <c r="AC131" s="160">
        <v>0</v>
      </c>
      <c r="AD131" s="160">
        <v>0</v>
      </c>
      <c r="AE131" s="160">
        <v>0</v>
      </c>
      <c r="AF131" s="160">
        <v>256.48888888888888</v>
      </c>
      <c r="AG131" s="160">
        <v>64.816666666666663</v>
      </c>
      <c r="AH131" s="160">
        <v>0</v>
      </c>
      <c r="AI131" s="160">
        <v>365.14444444444445</v>
      </c>
      <c r="AJ131" s="160">
        <v>321.30555555555554</v>
      </c>
      <c r="AK131" s="160">
        <v>365.14444444444445</v>
      </c>
      <c r="AL131" s="161">
        <v>72.583333333333329</v>
      </c>
      <c r="AM131" s="161">
        <v>1.1111111111111112E-2</v>
      </c>
      <c r="AN131" s="161">
        <v>72.594444444444434</v>
      </c>
      <c r="AO131" s="161">
        <v>365.15555555555557</v>
      </c>
      <c r="AP131" s="162">
        <v>43</v>
      </c>
      <c r="AQ131" s="168">
        <v>39</v>
      </c>
      <c r="AR131" s="160">
        <v>42</v>
      </c>
      <c r="AS131" s="160">
        <v>43</v>
      </c>
      <c r="AT131" s="160">
        <v>40</v>
      </c>
      <c r="AU131" s="160">
        <v>42</v>
      </c>
      <c r="AV131" s="160">
        <v>29</v>
      </c>
      <c r="AW131" s="160">
        <v>30</v>
      </c>
      <c r="AX131" s="160">
        <v>29</v>
      </c>
      <c r="AY131" s="160">
        <v>0</v>
      </c>
      <c r="AZ131" s="160">
        <v>0</v>
      </c>
      <c r="BA131" s="160">
        <v>0</v>
      </c>
      <c r="BB131" s="160">
        <v>0</v>
      </c>
      <c r="BC131" s="160">
        <v>235</v>
      </c>
      <c r="BD131" s="160">
        <v>59</v>
      </c>
      <c r="BE131" s="160">
        <v>0</v>
      </c>
      <c r="BF131" s="160">
        <v>337</v>
      </c>
      <c r="BG131" s="160">
        <v>294</v>
      </c>
      <c r="BH131" s="160">
        <v>337</v>
      </c>
      <c r="BI131" s="160">
        <v>43</v>
      </c>
      <c r="BJ131" s="160">
        <v>0</v>
      </c>
      <c r="BK131" s="160">
        <v>0</v>
      </c>
      <c r="BL131" s="160">
        <v>190</v>
      </c>
      <c r="BM131" s="160">
        <v>82</v>
      </c>
      <c r="BN131" s="162">
        <v>0</v>
      </c>
      <c r="BO131" s="162">
        <v>82</v>
      </c>
      <c r="BP131" s="162">
        <v>12</v>
      </c>
      <c r="BQ131" s="163">
        <v>6.8716741711011164E-2</v>
      </c>
      <c r="BR131" s="164">
        <v>28</v>
      </c>
      <c r="BS131" s="164">
        <v>27</v>
      </c>
      <c r="BT131" s="164">
        <v>27</v>
      </c>
      <c r="BU131" s="164">
        <v>28</v>
      </c>
      <c r="BV131" s="165">
        <v>0</v>
      </c>
      <c r="BW131" s="165">
        <v>0</v>
      </c>
      <c r="BX131" s="166">
        <v>0</v>
      </c>
      <c r="BY131" s="166">
        <v>0.42222199999999999</v>
      </c>
      <c r="BZ131" s="166">
        <v>41.711111000000002</v>
      </c>
      <c r="CA131" s="166">
        <v>42.133333333333333</v>
      </c>
      <c r="CB131" s="166">
        <v>39.049999999999997</v>
      </c>
      <c r="CC131" s="166">
        <v>41.327777777777776</v>
      </c>
      <c r="CD131" s="166">
        <v>42.338888888888889</v>
      </c>
      <c r="CE131" s="166">
        <v>39.544444444444444</v>
      </c>
      <c r="CF131" s="166">
        <v>40.93888888888889</v>
      </c>
      <c r="CG131" s="166">
        <v>26.327777777777779</v>
      </c>
      <c r="CH131" s="166">
        <v>27.916666666666668</v>
      </c>
      <c r="CI131" s="166">
        <v>27.372222222222224</v>
      </c>
      <c r="CJ131" s="166">
        <v>0</v>
      </c>
      <c r="CK131" s="166">
        <v>0</v>
      </c>
      <c r="CL131" s="166">
        <v>0</v>
      </c>
      <c r="CM131" s="166">
        <v>0</v>
      </c>
      <c r="CN131" s="166">
        <v>229.52777777777777</v>
      </c>
      <c r="CO131" s="166">
        <v>55.288888888888891</v>
      </c>
      <c r="CP131" s="166">
        <v>0</v>
      </c>
      <c r="CQ131" s="166">
        <v>326.95000000000005</v>
      </c>
      <c r="CR131" s="166">
        <v>284.81666666666666</v>
      </c>
      <c r="CS131" s="166">
        <v>326.95000000000005</v>
      </c>
      <c r="CT131" s="166">
        <v>84.533333333333303</v>
      </c>
      <c r="CU131" s="166">
        <v>0</v>
      </c>
      <c r="CV131" s="166">
        <v>84.533333333333303</v>
      </c>
      <c r="CW131" s="166">
        <v>326.95000000000005</v>
      </c>
      <c r="CX131" s="166">
        <v>0</v>
      </c>
      <c r="CY131" s="166">
        <v>44</v>
      </c>
      <c r="CZ131" s="165">
        <v>1</v>
      </c>
      <c r="DA131" s="165">
        <v>45</v>
      </c>
      <c r="DB131" s="165">
        <v>45</v>
      </c>
      <c r="DC131" s="165">
        <v>47</v>
      </c>
      <c r="DD131" s="165">
        <v>39</v>
      </c>
      <c r="DE131" s="165">
        <v>39</v>
      </c>
      <c r="DF131" s="165">
        <v>40</v>
      </c>
      <c r="DG131" s="165">
        <v>42</v>
      </c>
      <c r="DH131" s="165">
        <v>32</v>
      </c>
      <c r="DI131" s="165">
        <v>25</v>
      </c>
      <c r="DJ131" s="165">
        <v>0</v>
      </c>
      <c r="DK131" s="165">
        <v>0</v>
      </c>
      <c r="DL131" s="165">
        <v>0</v>
      </c>
      <c r="DM131" s="165">
        <v>0</v>
      </c>
      <c r="DN131" s="165">
        <v>252</v>
      </c>
      <c r="DO131" s="165">
        <v>57</v>
      </c>
      <c r="DP131" s="165">
        <v>0</v>
      </c>
      <c r="DQ131" s="165">
        <v>354</v>
      </c>
      <c r="DR131" s="165">
        <v>309</v>
      </c>
      <c r="DS131" s="165">
        <v>354</v>
      </c>
      <c r="DT131" s="165">
        <v>0</v>
      </c>
      <c r="DU131" s="165">
        <v>192</v>
      </c>
      <c r="DV131" s="165">
        <v>88</v>
      </c>
      <c r="DW131" s="165">
        <v>1</v>
      </c>
      <c r="DX131" s="165">
        <v>89</v>
      </c>
      <c r="DY131" s="165">
        <v>355</v>
      </c>
      <c r="DZ131" s="165">
        <v>10</v>
      </c>
      <c r="EA131" s="166">
        <v>26.7</v>
      </c>
      <c r="EB131" s="166">
        <v>25.7</v>
      </c>
      <c r="EC131" s="166">
        <v>17.29</v>
      </c>
      <c r="ED131" s="166">
        <v>5.31</v>
      </c>
      <c r="EE131" s="166">
        <v>0</v>
      </c>
      <c r="EF131" s="166">
        <v>27.7</v>
      </c>
      <c r="EG131" s="167">
        <v>6.3721384701284245E-2</v>
      </c>
      <c r="EH131" s="165"/>
      <c r="EI131" s="165">
        <v>46</v>
      </c>
      <c r="EJ131" s="165">
        <v>305</v>
      </c>
      <c r="EK131" s="165">
        <v>249</v>
      </c>
      <c r="EL131" s="165">
        <v>56</v>
      </c>
      <c r="EM131" s="165">
        <v>0</v>
      </c>
      <c r="EN131" s="165">
        <v>351</v>
      </c>
      <c r="EO131" s="165">
        <v>0</v>
      </c>
      <c r="EP131" s="165">
        <v>104</v>
      </c>
      <c r="EQ131" s="165">
        <v>104</v>
      </c>
      <c r="ER131" s="165">
        <v>103</v>
      </c>
      <c r="ES131" s="165">
        <v>1</v>
      </c>
      <c r="ET131" s="165">
        <v>8</v>
      </c>
      <c r="EU131" s="166">
        <v>8.5</v>
      </c>
      <c r="EV131" s="166">
        <v>0</v>
      </c>
      <c r="EW131" s="166">
        <v>3</v>
      </c>
      <c r="EX131" s="166">
        <v>3</v>
      </c>
      <c r="EY131" s="166">
        <v>6.5</v>
      </c>
      <c r="EZ131" s="166">
        <v>21</v>
      </c>
      <c r="FA131" s="166">
        <v>0</v>
      </c>
      <c r="FB131" s="166">
        <v>45.9</v>
      </c>
      <c r="FC131" s="166">
        <v>45.9</v>
      </c>
      <c r="FD131" s="166">
        <v>45.727777777777774</v>
      </c>
      <c r="FE131" s="166">
        <v>45.572222222222223</v>
      </c>
      <c r="FF131" s="166">
        <v>36.87777777777778</v>
      </c>
      <c r="FG131" s="166">
        <v>38.105555555555554</v>
      </c>
      <c r="FH131" s="166">
        <v>37.961111111111109</v>
      </c>
      <c r="FI131" s="166">
        <v>40.244444444444447</v>
      </c>
      <c r="FJ131" s="166">
        <v>31.616666666666667</v>
      </c>
      <c r="FK131" s="166">
        <v>24.1</v>
      </c>
      <c r="FL131" s="166">
        <v>0</v>
      </c>
      <c r="FM131" s="166">
        <v>0</v>
      </c>
      <c r="FN131" s="166">
        <v>0</v>
      </c>
      <c r="FO131" s="166">
        <v>0</v>
      </c>
      <c r="FP131" s="166">
        <v>244.48888888888888</v>
      </c>
      <c r="FQ131" s="166">
        <v>55.716666666666669</v>
      </c>
      <c r="FR131" s="166">
        <v>0</v>
      </c>
      <c r="FS131" s="166">
        <v>346.10555555555561</v>
      </c>
      <c r="FT131" s="166">
        <v>300.20555555555558</v>
      </c>
      <c r="FU131" s="166">
        <v>346.10555555555561</v>
      </c>
      <c r="FV131" s="166">
        <v>97.094444444444449</v>
      </c>
      <c r="FW131" s="166">
        <v>2.0666666666666669</v>
      </c>
      <c r="FX131" s="166">
        <v>99.161111111111111</v>
      </c>
      <c r="FY131" s="166">
        <v>348.17222222222227</v>
      </c>
      <c r="FZ131" s="165">
        <v>0</v>
      </c>
      <c r="GA131" s="165">
        <v>50</v>
      </c>
      <c r="GB131" s="165">
        <v>50</v>
      </c>
      <c r="GC131" s="165">
        <v>43</v>
      </c>
      <c r="GD131" s="165">
        <v>45</v>
      </c>
      <c r="GE131" s="165">
        <v>42</v>
      </c>
      <c r="GF131" s="165">
        <v>36</v>
      </c>
      <c r="GG131" s="165">
        <v>39</v>
      </c>
      <c r="GH131" s="165">
        <v>36</v>
      </c>
      <c r="GI131" s="165">
        <v>38</v>
      </c>
      <c r="GJ131" s="165">
        <v>31</v>
      </c>
      <c r="GK131" s="165">
        <v>0</v>
      </c>
      <c r="GL131" s="165">
        <v>0</v>
      </c>
      <c r="GM131" s="165">
        <v>0</v>
      </c>
      <c r="GN131" s="165">
        <v>0</v>
      </c>
      <c r="GO131" s="165">
        <v>241</v>
      </c>
      <c r="GP131" s="165">
        <v>69</v>
      </c>
      <c r="GQ131" s="165">
        <v>0</v>
      </c>
      <c r="GR131" s="165">
        <v>360</v>
      </c>
      <c r="GS131" s="165">
        <v>310</v>
      </c>
      <c r="GT131" s="165">
        <v>360</v>
      </c>
      <c r="GU131" s="165">
        <v>0</v>
      </c>
      <c r="GV131" s="165">
        <v>174</v>
      </c>
      <c r="GW131" s="165">
        <v>82</v>
      </c>
      <c r="GX131" s="165">
        <v>8</v>
      </c>
      <c r="GY131" s="165">
        <v>90</v>
      </c>
      <c r="GZ131" s="165">
        <v>368</v>
      </c>
      <c r="HA131" s="165">
        <v>11</v>
      </c>
      <c r="HB131" s="166">
        <v>27.65</v>
      </c>
      <c r="HC131" s="166">
        <v>26.65</v>
      </c>
      <c r="HD131" s="166">
        <v>16.740000000000002</v>
      </c>
      <c r="HE131" s="166">
        <v>4.91</v>
      </c>
      <c r="HF131" s="166"/>
      <c r="HG131" s="166">
        <v>27.75</v>
      </c>
      <c r="HH131" s="166">
        <v>0</v>
      </c>
      <c r="HI131" s="166">
        <v>99</v>
      </c>
      <c r="HJ131" s="166">
        <v>99</v>
      </c>
      <c r="HK131" s="166">
        <v>91</v>
      </c>
      <c r="HL131" s="166">
        <v>8</v>
      </c>
      <c r="HM131" s="166">
        <v>12</v>
      </c>
      <c r="HN131" s="166">
        <v>50</v>
      </c>
      <c r="HO131" s="166">
        <v>314</v>
      </c>
      <c r="HP131" s="166">
        <v>244</v>
      </c>
      <c r="HQ131" s="166">
        <v>70</v>
      </c>
      <c r="HR131" s="166">
        <v>0</v>
      </c>
      <c r="HS131" s="166">
        <v>364</v>
      </c>
      <c r="HT131" s="166">
        <f>FY26_FE_Data_April15[[#This Row],[Oct 1, 2026 (CDC) - K]]+FY26_FE_Data_April15[[#This Row],[Oct 1, 2026 (CDC) - Grades 1-6]]+FY26_FE_Data_April15[[#This Row],[Oct 1, 2026 (CDC) - Grades 7-8]]</f>
        <v>364</v>
      </c>
      <c r="HU131" s="166">
        <v>0</v>
      </c>
      <c r="HW131" s="170"/>
      <c r="HY131" s="170"/>
    </row>
    <row r="132" spans="1:233" ht="39">
      <c r="A132" s="158" t="s">
        <v>608</v>
      </c>
      <c r="B132" s="159" t="s">
        <v>609</v>
      </c>
      <c r="C132" s="160" t="s">
        <v>610</v>
      </c>
      <c r="D132" s="160" t="s">
        <v>139</v>
      </c>
      <c r="E132" s="159" t="s">
        <v>784</v>
      </c>
      <c r="F132" s="159" t="s">
        <v>784</v>
      </c>
      <c r="G132" s="159"/>
      <c r="H132" s="161">
        <v>128.1611111111111</v>
      </c>
      <c r="I132" s="161">
        <v>3.4055555555555554</v>
      </c>
      <c r="J132" s="161">
        <v>131.56666666666666</v>
      </c>
      <c r="K132" s="162">
        <v>161</v>
      </c>
      <c r="L132" s="162">
        <v>924</v>
      </c>
      <c r="M132" s="162">
        <v>261</v>
      </c>
      <c r="N132" s="162">
        <v>0</v>
      </c>
      <c r="O132" s="162">
        <v>1346</v>
      </c>
      <c r="P132" s="162">
        <v>1185</v>
      </c>
      <c r="Q132" s="162">
        <v>1346</v>
      </c>
      <c r="R132" s="162">
        <v>6</v>
      </c>
      <c r="S132" s="160">
        <v>154.84444444444443</v>
      </c>
      <c r="T132" s="160">
        <v>171.15</v>
      </c>
      <c r="U132" s="160">
        <v>146.54444444444445</v>
      </c>
      <c r="V132" s="160">
        <v>143.24444444444444</v>
      </c>
      <c r="W132" s="160">
        <v>161.70555555555555</v>
      </c>
      <c r="X132" s="160">
        <v>122.26111111111111</v>
      </c>
      <c r="Y132" s="160">
        <v>148.85555555555555</v>
      </c>
      <c r="Z132" s="160">
        <v>140.36666666666667</v>
      </c>
      <c r="AA132" s="160">
        <v>121.29444444444445</v>
      </c>
      <c r="AB132" s="160">
        <v>0</v>
      </c>
      <c r="AC132" s="160">
        <v>0</v>
      </c>
      <c r="AD132" s="160">
        <v>0</v>
      </c>
      <c r="AE132" s="160">
        <v>0</v>
      </c>
      <c r="AF132" s="160">
        <v>893.76111111111095</v>
      </c>
      <c r="AG132" s="160">
        <v>261.66111111111115</v>
      </c>
      <c r="AH132" s="160">
        <v>0</v>
      </c>
      <c r="AI132" s="160">
        <v>1310.2666666666667</v>
      </c>
      <c r="AJ132" s="160">
        <v>1155.4222222222222</v>
      </c>
      <c r="AK132" s="160">
        <v>1310.2666666666667</v>
      </c>
      <c r="AL132" s="161">
        <v>145.92222222222222</v>
      </c>
      <c r="AM132" s="161">
        <v>5.6277777777777782</v>
      </c>
      <c r="AN132" s="161">
        <v>151.54999999999998</v>
      </c>
      <c r="AO132" s="161">
        <v>1315.8944444444444</v>
      </c>
      <c r="AP132" s="162">
        <v>154</v>
      </c>
      <c r="AQ132" s="168">
        <v>165</v>
      </c>
      <c r="AR132" s="160">
        <v>189</v>
      </c>
      <c r="AS132" s="160">
        <v>148</v>
      </c>
      <c r="AT132" s="160">
        <v>149</v>
      </c>
      <c r="AU132" s="160">
        <v>176</v>
      </c>
      <c r="AV132" s="160">
        <v>129</v>
      </c>
      <c r="AW132" s="160">
        <v>179</v>
      </c>
      <c r="AX132" s="160">
        <v>136</v>
      </c>
      <c r="AY132" s="160">
        <v>0</v>
      </c>
      <c r="AZ132" s="160">
        <v>0</v>
      </c>
      <c r="BA132" s="160">
        <v>0</v>
      </c>
      <c r="BB132" s="160">
        <v>0</v>
      </c>
      <c r="BC132" s="160">
        <v>956</v>
      </c>
      <c r="BD132" s="160">
        <v>315</v>
      </c>
      <c r="BE132" s="160">
        <v>0</v>
      </c>
      <c r="BF132" s="160">
        <v>1425</v>
      </c>
      <c r="BG132" s="160">
        <v>1271</v>
      </c>
      <c r="BH132" s="160">
        <v>1425</v>
      </c>
      <c r="BI132" s="160">
        <v>154</v>
      </c>
      <c r="BJ132" s="160">
        <v>0</v>
      </c>
      <c r="BK132" s="160">
        <v>0</v>
      </c>
      <c r="BL132" s="160">
        <v>952</v>
      </c>
      <c r="BM132" s="160">
        <v>144</v>
      </c>
      <c r="BN132" s="162">
        <v>11</v>
      </c>
      <c r="BO132" s="162">
        <v>155</v>
      </c>
      <c r="BP132" s="162">
        <v>353</v>
      </c>
      <c r="BQ132" s="163">
        <v>5.9352215367358352E-2</v>
      </c>
      <c r="BR132" s="164">
        <v>72.314999999999998</v>
      </c>
      <c r="BS132" s="164">
        <v>66.314999999999998</v>
      </c>
      <c r="BT132" s="164">
        <v>64.314999999999998</v>
      </c>
      <c r="BU132" s="164">
        <v>73.314999999999998</v>
      </c>
      <c r="BV132" s="165">
        <v>0</v>
      </c>
      <c r="BW132" s="165">
        <v>0</v>
      </c>
      <c r="BX132" s="166">
        <v>0</v>
      </c>
      <c r="BY132" s="166">
        <v>0</v>
      </c>
      <c r="BZ132" s="166">
        <v>152.05000000000001</v>
      </c>
      <c r="CA132" s="166">
        <v>152.05000000000001</v>
      </c>
      <c r="CB132" s="166">
        <v>164.22222222222223</v>
      </c>
      <c r="CC132" s="166">
        <v>184.91666666666666</v>
      </c>
      <c r="CD132" s="166">
        <v>145.29444444444445</v>
      </c>
      <c r="CE132" s="166">
        <v>143.06666666666666</v>
      </c>
      <c r="CF132" s="166">
        <v>174.19444444444446</v>
      </c>
      <c r="CG132" s="166">
        <v>125.96111111111111</v>
      </c>
      <c r="CH132" s="166">
        <v>175.75555555555556</v>
      </c>
      <c r="CI132" s="166">
        <v>130.61111111111111</v>
      </c>
      <c r="CJ132" s="166">
        <v>0</v>
      </c>
      <c r="CK132" s="166">
        <v>0</v>
      </c>
      <c r="CL132" s="166">
        <v>0</v>
      </c>
      <c r="CM132" s="166">
        <v>0</v>
      </c>
      <c r="CN132" s="166">
        <v>937.65555555555557</v>
      </c>
      <c r="CO132" s="166">
        <v>306.36666666666667</v>
      </c>
      <c r="CP132" s="166">
        <v>0</v>
      </c>
      <c r="CQ132" s="166">
        <v>1396.0722222222221</v>
      </c>
      <c r="CR132" s="166">
        <v>1244.0222222222221</v>
      </c>
      <c r="CS132" s="166">
        <v>1396.0722222222221</v>
      </c>
      <c r="CT132" s="166">
        <v>136.58888888888899</v>
      </c>
      <c r="CU132" s="166">
        <v>12.744444444444399</v>
      </c>
      <c r="CV132" s="166">
        <v>149.3333333333334</v>
      </c>
      <c r="CW132" s="166">
        <v>1408.8166666666664</v>
      </c>
      <c r="CX132" s="166">
        <v>0</v>
      </c>
      <c r="CY132" s="166">
        <v>237</v>
      </c>
      <c r="CZ132" s="165">
        <v>0</v>
      </c>
      <c r="DA132" s="165">
        <v>237</v>
      </c>
      <c r="DB132" s="165">
        <v>232</v>
      </c>
      <c r="DC132" s="165">
        <v>230</v>
      </c>
      <c r="DD132" s="165">
        <v>223</v>
      </c>
      <c r="DE132" s="165">
        <v>225</v>
      </c>
      <c r="DF132" s="165">
        <v>244</v>
      </c>
      <c r="DG132" s="165">
        <v>233</v>
      </c>
      <c r="DH132" s="165">
        <v>223</v>
      </c>
      <c r="DI132" s="165">
        <v>239</v>
      </c>
      <c r="DJ132" s="165">
        <v>80</v>
      </c>
      <c r="DK132" s="165">
        <v>0</v>
      </c>
      <c r="DL132" s="165">
        <v>0</v>
      </c>
      <c r="DM132" s="165">
        <v>0</v>
      </c>
      <c r="DN132" s="165">
        <v>1387</v>
      </c>
      <c r="DO132" s="165">
        <v>462</v>
      </c>
      <c r="DP132" s="165">
        <v>80</v>
      </c>
      <c r="DQ132" s="165">
        <v>2086</v>
      </c>
      <c r="DR132" s="165">
        <v>1929</v>
      </c>
      <c r="DS132" s="165">
        <v>2166</v>
      </c>
      <c r="DT132" s="165">
        <v>0</v>
      </c>
      <c r="DU132" s="165">
        <v>1295</v>
      </c>
      <c r="DV132" s="165">
        <v>215</v>
      </c>
      <c r="DW132" s="165">
        <v>18</v>
      </c>
      <c r="DX132" s="165">
        <v>233</v>
      </c>
      <c r="DY132" s="165">
        <v>2184</v>
      </c>
      <c r="DZ132" s="165">
        <v>564</v>
      </c>
      <c r="EA132" s="166">
        <v>114.30200000000001</v>
      </c>
      <c r="EB132" s="166">
        <v>106.30199999999999</v>
      </c>
      <c r="EC132" s="166">
        <v>64.402000000000001</v>
      </c>
      <c r="ED132" s="166">
        <v>34.799999999999997</v>
      </c>
      <c r="EE132" s="166">
        <v>0</v>
      </c>
      <c r="EF132" s="166">
        <v>114.35199999999999</v>
      </c>
      <c r="EG132" s="167">
        <v>6.1858900024848729E-2</v>
      </c>
      <c r="EH132" s="165"/>
      <c r="EI132" s="165">
        <v>231</v>
      </c>
      <c r="EJ132" s="165">
        <v>1969</v>
      </c>
      <c r="EK132" s="165">
        <v>1301</v>
      </c>
      <c r="EL132" s="165">
        <v>460</v>
      </c>
      <c r="EM132" s="165">
        <v>208</v>
      </c>
      <c r="EN132" s="165">
        <v>2200</v>
      </c>
      <c r="EO132" s="165">
        <v>0</v>
      </c>
      <c r="EP132" s="165">
        <v>242</v>
      </c>
      <c r="EQ132" s="165">
        <v>242</v>
      </c>
      <c r="ER132" s="165">
        <v>223</v>
      </c>
      <c r="ES132" s="165">
        <v>19</v>
      </c>
      <c r="ET132" s="165">
        <v>24</v>
      </c>
      <c r="EU132" s="166">
        <v>33.401000000000003</v>
      </c>
      <c r="EV132" s="166">
        <v>0</v>
      </c>
      <c r="EW132" s="166">
        <v>4</v>
      </c>
      <c r="EX132" s="166">
        <v>33.401000000000003</v>
      </c>
      <c r="EY132" s="166">
        <v>1.625</v>
      </c>
      <c r="EZ132" s="166">
        <v>72.427000000000007</v>
      </c>
      <c r="FA132" s="166">
        <v>0</v>
      </c>
      <c r="FB132" s="166">
        <v>230.53888888888889</v>
      </c>
      <c r="FC132" s="166">
        <v>230.53888888888889</v>
      </c>
      <c r="FD132" s="166">
        <v>222.92777777777778</v>
      </c>
      <c r="FE132" s="166">
        <v>228.0611111111111</v>
      </c>
      <c r="FF132" s="166">
        <v>224.71666666666667</v>
      </c>
      <c r="FG132" s="166">
        <v>218.66666666666666</v>
      </c>
      <c r="FH132" s="166">
        <v>239.15555555555557</v>
      </c>
      <c r="FI132" s="166">
        <v>229.37222222222223</v>
      </c>
      <c r="FJ132" s="166">
        <v>221.11111111111111</v>
      </c>
      <c r="FK132" s="166">
        <v>233.10555555555555</v>
      </c>
      <c r="FL132" s="166">
        <v>84.972222222222229</v>
      </c>
      <c r="FM132" s="166">
        <v>0</v>
      </c>
      <c r="FN132" s="166">
        <v>0</v>
      </c>
      <c r="FO132" s="166">
        <v>0</v>
      </c>
      <c r="FP132" s="166">
        <v>1362.9</v>
      </c>
      <c r="FQ132" s="166">
        <v>454.2166666666667</v>
      </c>
      <c r="FR132" s="166">
        <v>84.972222222222229</v>
      </c>
      <c r="FS132" s="166">
        <v>2047.6555555555558</v>
      </c>
      <c r="FT132" s="166">
        <v>1902.088888888889</v>
      </c>
      <c r="FU132" s="166">
        <v>2132.6277777777782</v>
      </c>
      <c r="FV132" s="166">
        <v>234.11666666666667</v>
      </c>
      <c r="FW132" s="166">
        <v>18.111111111111111</v>
      </c>
      <c r="FX132" s="166">
        <v>252.22777777777779</v>
      </c>
      <c r="FY132" s="166">
        <v>2150.7388888888895</v>
      </c>
      <c r="FZ132" s="165">
        <v>0</v>
      </c>
      <c r="GA132" s="165">
        <v>292</v>
      </c>
      <c r="GB132" s="165">
        <v>292</v>
      </c>
      <c r="GC132" s="165">
        <v>280</v>
      </c>
      <c r="GD132" s="165">
        <v>267</v>
      </c>
      <c r="GE132" s="165">
        <v>291</v>
      </c>
      <c r="GF132" s="165">
        <v>302</v>
      </c>
      <c r="GG132" s="165">
        <v>288</v>
      </c>
      <c r="GH132" s="165">
        <v>324</v>
      </c>
      <c r="GI132" s="165">
        <v>314</v>
      </c>
      <c r="GJ132" s="165">
        <v>263</v>
      </c>
      <c r="GK132" s="165">
        <v>136</v>
      </c>
      <c r="GL132" s="165">
        <v>91</v>
      </c>
      <c r="GM132" s="165">
        <v>0</v>
      </c>
      <c r="GN132" s="165">
        <v>0</v>
      </c>
      <c r="GO132" s="165">
        <v>1752</v>
      </c>
      <c r="GP132" s="165">
        <v>577</v>
      </c>
      <c r="GQ132" s="165">
        <v>227</v>
      </c>
      <c r="GR132" s="165">
        <v>2621</v>
      </c>
      <c r="GS132" s="165">
        <v>2556</v>
      </c>
      <c r="GT132" s="165">
        <v>2848</v>
      </c>
      <c r="GU132" s="165">
        <v>0</v>
      </c>
      <c r="GV132" s="165">
        <v>1660</v>
      </c>
      <c r="GW132" s="165">
        <v>360</v>
      </c>
      <c r="GX132" s="165">
        <v>30</v>
      </c>
      <c r="GY132" s="165">
        <v>390</v>
      </c>
      <c r="GZ132" s="165">
        <v>2878</v>
      </c>
      <c r="HA132" s="165">
        <v>636</v>
      </c>
      <c r="HB132" s="166">
        <v>149.36000000000001</v>
      </c>
      <c r="HC132" s="166">
        <v>138.36000000000001</v>
      </c>
      <c r="HD132" s="166">
        <v>83.8</v>
      </c>
      <c r="HE132" s="166">
        <v>46.56</v>
      </c>
      <c r="HF132" s="166"/>
      <c r="HG132" s="166">
        <v>149.35</v>
      </c>
      <c r="HH132" s="166">
        <v>0</v>
      </c>
      <c r="HI132" s="166">
        <v>391</v>
      </c>
      <c r="HJ132" s="166">
        <v>391</v>
      </c>
      <c r="HK132" s="166">
        <v>367</v>
      </c>
      <c r="HL132" s="166">
        <v>24</v>
      </c>
      <c r="HM132" s="166">
        <v>27</v>
      </c>
      <c r="HN132" s="166">
        <v>300</v>
      </c>
      <c r="HO132" s="166">
        <v>2709</v>
      </c>
      <c r="HP132" s="166">
        <v>1800</v>
      </c>
      <c r="HQ132" s="166">
        <v>609</v>
      </c>
      <c r="HR132" s="166">
        <v>300</v>
      </c>
      <c r="HS132" s="166">
        <v>3009</v>
      </c>
      <c r="HT132" s="166">
        <f>FY26_FE_Data_April15[[#This Row],[Oct 1, 2026 (CDC) - K]]+FY26_FE_Data_April15[[#This Row],[Oct 1, 2026 (CDC) - Grades 1-6]]+FY26_FE_Data_April15[[#This Row],[Oct 1, 2026 (CDC) - Grades 7-8]]</f>
        <v>2709</v>
      </c>
      <c r="HU132" s="166">
        <v>0</v>
      </c>
      <c r="HW132" s="170"/>
      <c r="HY132" s="170"/>
    </row>
    <row r="133" spans="1:233" ht="39">
      <c r="A133" s="158" t="s">
        <v>611</v>
      </c>
      <c r="B133" s="159" t="s">
        <v>612</v>
      </c>
      <c r="C133" s="160" t="s">
        <v>613</v>
      </c>
      <c r="D133" s="160" t="s">
        <v>139</v>
      </c>
      <c r="E133" s="159" t="s">
        <v>784</v>
      </c>
      <c r="F133" s="159" t="s">
        <v>784</v>
      </c>
      <c r="G133" s="159"/>
      <c r="H133" s="161">
        <v>54.461111111111109</v>
      </c>
      <c r="I133" s="161">
        <v>6.0333333333333332</v>
      </c>
      <c r="J133" s="161">
        <v>60.49444444444444</v>
      </c>
      <c r="K133" s="162">
        <v>88</v>
      </c>
      <c r="L133" s="162">
        <v>321</v>
      </c>
      <c r="M133" s="162">
        <v>0</v>
      </c>
      <c r="N133" s="162">
        <v>0</v>
      </c>
      <c r="O133" s="162">
        <v>409</v>
      </c>
      <c r="P133" s="162">
        <v>321</v>
      </c>
      <c r="Q133" s="162">
        <v>409</v>
      </c>
      <c r="R133" s="162">
        <v>6</v>
      </c>
      <c r="S133" s="160">
        <v>84.438888888888883</v>
      </c>
      <c r="T133" s="160">
        <v>61.511111111111113</v>
      </c>
      <c r="U133" s="160">
        <v>59.038888888888891</v>
      </c>
      <c r="V133" s="160">
        <v>50.527777777777779</v>
      </c>
      <c r="W133" s="160">
        <v>51.633333333333333</v>
      </c>
      <c r="X133" s="160">
        <v>44.43888888888889</v>
      </c>
      <c r="Y133" s="160">
        <v>36.93888888888889</v>
      </c>
      <c r="Z133" s="160">
        <v>0</v>
      </c>
      <c r="AA133" s="160">
        <v>0</v>
      </c>
      <c r="AB133" s="160">
        <v>0</v>
      </c>
      <c r="AC133" s="160">
        <v>0</v>
      </c>
      <c r="AD133" s="160">
        <v>0</v>
      </c>
      <c r="AE133" s="160">
        <v>0</v>
      </c>
      <c r="AF133" s="160">
        <v>304.08888888888885</v>
      </c>
      <c r="AG133" s="160">
        <v>0</v>
      </c>
      <c r="AH133" s="160">
        <v>0</v>
      </c>
      <c r="AI133" s="160">
        <v>388.52777777777771</v>
      </c>
      <c r="AJ133" s="160">
        <v>304.08888888888885</v>
      </c>
      <c r="AK133" s="160">
        <v>388.52777777777771</v>
      </c>
      <c r="AL133" s="161">
        <v>39.388888888888886</v>
      </c>
      <c r="AM133" s="161">
        <v>4.8499999999999996</v>
      </c>
      <c r="AN133" s="161">
        <v>44.238888888888887</v>
      </c>
      <c r="AO133" s="161">
        <v>393.37777777777774</v>
      </c>
      <c r="AP133" s="162">
        <v>79</v>
      </c>
      <c r="AQ133" s="168">
        <v>70</v>
      </c>
      <c r="AR133" s="160">
        <v>60</v>
      </c>
      <c r="AS133" s="160">
        <v>57</v>
      </c>
      <c r="AT133" s="160">
        <v>44</v>
      </c>
      <c r="AU133" s="160">
        <v>49</v>
      </c>
      <c r="AV133" s="160">
        <v>40</v>
      </c>
      <c r="AW133" s="160">
        <v>0</v>
      </c>
      <c r="AX133" s="160">
        <v>0</v>
      </c>
      <c r="AY133" s="160">
        <v>0</v>
      </c>
      <c r="AZ133" s="160">
        <v>0</v>
      </c>
      <c r="BA133" s="160">
        <v>0</v>
      </c>
      <c r="BB133" s="160">
        <v>0</v>
      </c>
      <c r="BC133" s="160">
        <v>320</v>
      </c>
      <c r="BD133" s="160">
        <v>0</v>
      </c>
      <c r="BE133" s="160">
        <v>0</v>
      </c>
      <c r="BF133" s="160">
        <v>399</v>
      </c>
      <c r="BG133" s="160">
        <v>320</v>
      </c>
      <c r="BH133" s="160">
        <v>399</v>
      </c>
      <c r="BI133" s="160">
        <v>77</v>
      </c>
      <c r="BJ133" s="160">
        <v>2</v>
      </c>
      <c r="BK133" s="160">
        <v>0</v>
      </c>
      <c r="BL133" s="160">
        <v>197</v>
      </c>
      <c r="BM133" s="160">
        <v>50</v>
      </c>
      <c r="BN133" s="162">
        <v>7</v>
      </c>
      <c r="BO133" s="162">
        <v>57</v>
      </c>
      <c r="BP133" s="162">
        <v>22</v>
      </c>
      <c r="BQ133" s="163">
        <v>4.531926406926412E-2</v>
      </c>
      <c r="BR133" s="164">
        <v>31.024999999999999</v>
      </c>
      <c r="BS133" s="164">
        <v>29.024999999999999</v>
      </c>
      <c r="BT133" s="164">
        <v>27.625</v>
      </c>
      <c r="BU133" s="164">
        <v>31.024999999999999</v>
      </c>
      <c r="BV133" s="165">
        <v>0</v>
      </c>
      <c r="BW133" s="165">
        <v>0</v>
      </c>
      <c r="BX133" s="166">
        <v>0</v>
      </c>
      <c r="BY133" s="166">
        <v>2.5888879999999999</v>
      </c>
      <c r="BZ133" s="166">
        <v>76.022221999999999</v>
      </c>
      <c r="CA133" s="166">
        <v>78.611111111111114</v>
      </c>
      <c r="CB133" s="166">
        <v>66.944444444444443</v>
      </c>
      <c r="CC133" s="166">
        <v>61.322222222222223</v>
      </c>
      <c r="CD133" s="166">
        <v>54.005555555555553</v>
      </c>
      <c r="CE133" s="166">
        <v>43.35</v>
      </c>
      <c r="CF133" s="166">
        <v>49.822222222222223</v>
      </c>
      <c r="CG133" s="166">
        <v>39.255555555555553</v>
      </c>
      <c r="CH133" s="166">
        <v>0</v>
      </c>
      <c r="CI133" s="166">
        <v>0</v>
      </c>
      <c r="CJ133" s="166">
        <v>0</v>
      </c>
      <c r="CK133" s="166">
        <v>0</v>
      </c>
      <c r="CL133" s="166">
        <v>0</v>
      </c>
      <c r="CM133" s="166">
        <v>0</v>
      </c>
      <c r="CN133" s="166">
        <v>314.7</v>
      </c>
      <c r="CO133" s="166">
        <v>0</v>
      </c>
      <c r="CP133" s="166">
        <v>0</v>
      </c>
      <c r="CQ133" s="166">
        <v>393.31111111111107</v>
      </c>
      <c r="CR133" s="166">
        <v>314.7</v>
      </c>
      <c r="CS133" s="166">
        <v>393.31111111111107</v>
      </c>
      <c r="CT133" s="166">
        <v>50.505555555555603</v>
      </c>
      <c r="CU133" s="166">
        <v>6.7</v>
      </c>
      <c r="CV133" s="166">
        <v>57.205555555555605</v>
      </c>
      <c r="CW133" s="166">
        <v>400.01111111111106</v>
      </c>
      <c r="CX133" s="166">
        <v>0</v>
      </c>
      <c r="CY133" s="166">
        <v>58</v>
      </c>
      <c r="CZ133" s="165">
        <v>1</v>
      </c>
      <c r="DA133" s="165">
        <v>59</v>
      </c>
      <c r="DB133" s="165">
        <v>85</v>
      </c>
      <c r="DC133" s="165">
        <v>72</v>
      </c>
      <c r="DD133" s="165">
        <v>70</v>
      </c>
      <c r="DE133" s="165">
        <v>58</v>
      </c>
      <c r="DF133" s="165">
        <v>51</v>
      </c>
      <c r="DG133" s="165">
        <v>42</v>
      </c>
      <c r="DH133" s="165">
        <v>0</v>
      </c>
      <c r="DI133" s="165">
        <v>0</v>
      </c>
      <c r="DJ133" s="165">
        <v>0</v>
      </c>
      <c r="DK133" s="165">
        <v>0</v>
      </c>
      <c r="DL133" s="165">
        <v>0</v>
      </c>
      <c r="DM133" s="165">
        <v>0</v>
      </c>
      <c r="DN133" s="165">
        <v>378</v>
      </c>
      <c r="DO133" s="165">
        <v>0</v>
      </c>
      <c r="DP133" s="165">
        <v>0</v>
      </c>
      <c r="DQ133" s="165">
        <v>437</v>
      </c>
      <c r="DR133" s="165">
        <v>378</v>
      </c>
      <c r="DS133" s="165">
        <v>437</v>
      </c>
      <c r="DT133" s="165">
        <v>0</v>
      </c>
      <c r="DU133" s="165">
        <v>100</v>
      </c>
      <c r="DV133" s="165">
        <v>37</v>
      </c>
      <c r="DW133" s="165">
        <v>4</v>
      </c>
      <c r="DX133" s="165">
        <v>41</v>
      </c>
      <c r="DY133" s="165">
        <v>441</v>
      </c>
      <c r="DZ133" s="165">
        <v>21</v>
      </c>
      <c r="EA133" s="166">
        <v>32.75</v>
      </c>
      <c r="EB133" s="166">
        <v>31.25</v>
      </c>
      <c r="EC133" s="166">
        <v>27.25</v>
      </c>
      <c r="ED133" s="166">
        <v>0.5</v>
      </c>
      <c r="EE133" s="166">
        <v>0</v>
      </c>
      <c r="EF133" s="166">
        <v>32.75</v>
      </c>
      <c r="EG133" s="167">
        <v>5.6091370558375653E-2</v>
      </c>
      <c r="EH133" s="165"/>
      <c r="EI133" s="165">
        <v>64</v>
      </c>
      <c r="EJ133" s="165">
        <v>371</v>
      </c>
      <c r="EK133" s="165">
        <v>371</v>
      </c>
      <c r="EL133" s="165">
        <v>0</v>
      </c>
      <c r="EM133" s="165">
        <v>0</v>
      </c>
      <c r="EN133" s="165">
        <v>435</v>
      </c>
      <c r="EO133" s="165">
        <v>0</v>
      </c>
      <c r="EP133" s="165">
        <v>43</v>
      </c>
      <c r="EQ133" s="165">
        <v>43</v>
      </c>
      <c r="ER133" s="165">
        <v>39</v>
      </c>
      <c r="ES133" s="165">
        <v>4</v>
      </c>
      <c r="ET133" s="165">
        <v>0</v>
      </c>
      <c r="EU133" s="166">
        <v>16.8</v>
      </c>
      <c r="EV133" s="166">
        <v>0</v>
      </c>
      <c r="EW133" s="166">
        <v>1.8</v>
      </c>
      <c r="EX133" s="166">
        <v>0.6</v>
      </c>
      <c r="EY133" s="166">
        <v>4.4000000000000004</v>
      </c>
      <c r="EZ133" s="166">
        <v>23.6</v>
      </c>
      <c r="FA133" s="166">
        <v>0</v>
      </c>
      <c r="FB133" s="166">
        <v>58.972222222222221</v>
      </c>
      <c r="FC133" s="166">
        <v>58.972222222222221</v>
      </c>
      <c r="FD133" s="166">
        <v>83.577777777777783</v>
      </c>
      <c r="FE133" s="166">
        <v>66.777777777777771</v>
      </c>
      <c r="FF133" s="166">
        <v>67.49444444444444</v>
      </c>
      <c r="FG133" s="166">
        <v>59.333333333333336</v>
      </c>
      <c r="FH133" s="166">
        <v>51.527777777777779</v>
      </c>
      <c r="FI133" s="166">
        <v>39.866666666666667</v>
      </c>
      <c r="FJ133" s="166">
        <v>0</v>
      </c>
      <c r="FK133" s="166">
        <v>0</v>
      </c>
      <c r="FL133" s="166">
        <v>0</v>
      </c>
      <c r="FM133" s="166">
        <v>0</v>
      </c>
      <c r="FN133" s="166">
        <v>0</v>
      </c>
      <c r="FO133" s="166">
        <v>0</v>
      </c>
      <c r="FP133" s="166">
        <v>368.57777777777778</v>
      </c>
      <c r="FQ133" s="166">
        <v>0</v>
      </c>
      <c r="FR133" s="166">
        <v>0</v>
      </c>
      <c r="FS133" s="166">
        <v>427.54999999999995</v>
      </c>
      <c r="FT133" s="166">
        <v>368.57777777777778</v>
      </c>
      <c r="FU133" s="166">
        <v>427.54999999999995</v>
      </c>
      <c r="FV133" s="166">
        <v>38.055555555555557</v>
      </c>
      <c r="FW133" s="166">
        <v>4</v>
      </c>
      <c r="FX133" s="166">
        <v>42.055555555555557</v>
      </c>
      <c r="FY133" s="166">
        <v>431.54999999999995</v>
      </c>
      <c r="FZ133" s="165">
        <v>0</v>
      </c>
      <c r="GA133" s="165">
        <v>57</v>
      </c>
      <c r="GB133" s="165">
        <v>57</v>
      </c>
      <c r="GC133" s="165">
        <v>38</v>
      </c>
      <c r="GD133" s="165">
        <v>65</v>
      </c>
      <c r="GE133" s="165">
        <v>48</v>
      </c>
      <c r="GF133" s="165">
        <v>61</v>
      </c>
      <c r="GG133" s="165">
        <v>46</v>
      </c>
      <c r="GH133" s="165">
        <v>49</v>
      </c>
      <c r="GI133" s="165">
        <v>0</v>
      </c>
      <c r="GJ133" s="165">
        <v>0</v>
      </c>
      <c r="GK133" s="165">
        <v>0</v>
      </c>
      <c r="GL133" s="165">
        <v>0</v>
      </c>
      <c r="GM133" s="165">
        <v>0</v>
      </c>
      <c r="GN133" s="165">
        <v>0</v>
      </c>
      <c r="GO133" s="165">
        <v>307</v>
      </c>
      <c r="GP133" s="165">
        <v>0</v>
      </c>
      <c r="GQ133" s="165">
        <v>0</v>
      </c>
      <c r="GR133" s="165">
        <v>364</v>
      </c>
      <c r="GS133" s="165">
        <v>307</v>
      </c>
      <c r="GT133" s="165">
        <v>364</v>
      </c>
      <c r="GU133" s="165">
        <v>0</v>
      </c>
      <c r="GV133" s="165">
        <v>80</v>
      </c>
      <c r="GW133" s="165">
        <v>24</v>
      </c>
      <c r="GX133" s="165">
        <v>4</v>
      </c>
      <c r="GY133" s="165">
        <v>28</v>
      </c>
      <c r="GZ133" s="165">
        <v>368</v>
      </c>
      <c r="HA133" s="165">
        <v>18</v>
      </c>
      <c r="HB133" s="166">
        <v>30.25</v>
      </c>
      <c r="HC133" s="166">
        <v>29.25</v>
      </c>
      <c r="HD133" s="166">
        <v>24.875</v>
      </c>
      <c r="HE133" s="166">
        <v>0.25</v>
      </c>
      <c r="HF133" s="166"/>
      <c r="HG133" s="166">
        <v>30.25</v>
      </c>
      <c r="HH133" s="166">
        <v>0</v>
      </c>
      <c r="HI133" s="166">
        <v>44</v>
      </c>
      <c r="HJ133" s="166">
        <v>44</v>
      </c>
      <c r="HK133" s="166">
        <v>37</v>
      </c>
      <c r="HL133" s="166">
        <v>7</v>
      </c>
      <c r="HM133" s="166">
        <v>0</v>
      </c>
      <c r="HN133" s="166">
        <v>59</v>
      </c>
      <c r="HO133" s="166">
        <v>338</v>
      </c>
      <c r="HP133" s="166">
        <v>338</v>
      </c>
      <c r="HQ133" s="166">
        <v>0</v>
      </c>
      <c r="HR133" s="166">
        <v>0</v>
      </c>
      <c r="HS133" s="166">
        <v>397</v>
      </c>
      <c r="HT133" s="166">
        <f>FY26_FE_Data_April15[[#This Row],[Oct 1, 2026 (CDC) - K]]+FY26_FE_Data_April15[[#This Row],[Oct 1, 2026 (CDC) - Grades 1-6]]+FY26_FE_Data_April15[[#This Row],[Oct 1, 2026 (CDC) - Grades 7-8]]</f>
        <v>397</v>
      </c>
      <c r="HU133" s="166">
        <v>0</v>
      </c>
      <c r="HW133" s="170"/>
      <c r="HY133" s="170"/>
    </row>
    <row r="134" spans="1:233" ht="39">
      <c r="A134" s="158" t="s">
        <v>614</v>
      </c>
      <c r="B134" s="159" t="s">
        <v>615</v>
      </c>
      <c r="C134" s="160" t="s">
        <v>616</v>
      </c>
      <c r="D134" s="160" t="s">
        <v>139</v>
      </c>
      <c r="E134" s="159" t="s">
        <v>785</v>
      </c>
      <c r="F134" s="159" t="s">
        <v>785</v>
      </c>
      <c r="G134" s="159" t="s">
        <v>785</v>
      </c>
      <c r="H134" s="161">
        <v>0</v>
      </c>
      <c r="I134" s="161">
        <v>0</v>
      </c>
      <c r="J134" s="161">
        <v>0</v>
      </c>
      <c r="K134" s="162">
        <v>9</v>
      </c>
      <c r="L134" s="162">
        <v>33</v>
      </c>
      <c r="M134" s="162">
        <v>22</v>
      </c>
      <c r="N134" s="162">
        <v>0</v>
      </c>
      <c r="O134" s="162">
        <v>64</v>
      </c>
      <c r="P134" s="162">
        <v>55</v>
      </c>
      <c r="Q134" s="162">
        <v>64</v>
      </c>
      <c r="R134" s="162">
        <v>3</v>
      </c>
      <c r="S134" s="160">
        <v>8.7222222222222214</v>
      </c>
      <c r="T134" s="160">
        <v>5.5777777777777775</v>
      </c>
      <c r="U134" s="160">
        <v>9.344444444444445</v>
      </c>
      <c r="V134" s="160">
        <v>5.3555555555555552</v>
      </c>
      <c r="W134" s="160">
        <v>6</v>
      </c>
      <c r="X134" s="160">
        <v>8.1388888888888893</v>
      </c>
      <c r="Y134" s="160">
        <v>12.161111111111111</v>
      </c>
      <c r="Z134" s="160">
        <v>22.088888888888889</v>
      </c>
      <c r="AA134" s="160">
        <v>23.405555555555555</v>
      </c>
      <c r="AB134" s="160">
        <v>0</v>
      </c>
      <c r="AC134" s="160">
        <v>0</v>
      </c>
      <c r="AD134" s="160">
        <v>0</v>
      </c>
      <c r="AE134" s="160">
        <v>0</v>
      </c>
      <c r="AF134" s="160">
        <v>46.577777777777783</v>
      </c>
      <c r="AG134" s="160">
        <v>45.49444444444444</v>
      </c>
      <c r="AH134" s="160">
        <v>0</v>
      </c>
      <c r="AI134" s="160">
        <v>100.79444444444444</v>
      </c>
      <c r="AJ134" s="160">
        <v>92.072222222222223</v>
      </c>
      <c r="AK134" s="160">
        <v>100.79444444444444</v>
      </c>
      <c r="AL134" s="161">
        <v>14.5</v>
      </c>
      <c r="AM134" s="161">
        <v>17.0555555555555</v>
      </c>
      <c r="AN134" s="161">
        <v>31.5555555555555</v>
      </c>
      <c r="AO134" s="161">
        <v>117.84999999999994</v>
      </c>
      <c r="AP134" s="162">
        <v>13</v>
      </c>
      <c r="AQ134" s="168">
        <v>15</v>
      </c>
      <c r="AR134" s="160">
        <v>11</v>
      </c>
      <c r="AS134" s="160">
        <v>10</v>
      </c>
      <c r="AT134" s="160">
        <v>17</v>
      </c>
      <c r="AU134" s="160">
        <v>15</v>
      </c>
      <c r="AV134" s="160">
        <v>11</v>
      </c>
      <c r="AW134" s="160">
        <v>26</v>
      </c>
      <c r="AX134" s="160">
        <v>36</v>
      </c>
      <c r="AY134" s="160">
        <v>22</v>
      </c>
      <c r="AZ134" s="160">
        <v>0</v>
      </c>
      <c r="BA134" s="160">
        <v>0</v>
      </c>
      <c r="BB134" s="160">
        <v>0</v>
      </c>
      <c r="BC134" s="160">
        <v>79</v>
      </c>
      <c r="BD134" s="160">
        <v>62</v>
      </c>
      <c r="BE134" s="160">
        <v>22</v>
      </c>
      <c r="BF134" s="160">
        <v>154</v>
      </c>
      <c r="BG134" s="160">
        <v>163</v>
      </c>
      <c r="BH134" s="160">
        <v>176</v>
      </c>
      <c r="BI134" s="160">
        <v>13</v>
      </c>
      <c r="BJ134" s="160">
        <v>0</v>
      </c>
      <c r="BK134" s="160">
        <v>0</v>
      </c>
      <c r="BL134" s="160">
        <v>71</v>
      </c>
      <c r="BM134" s="160">
        <v>21</v>
      </c>
      <c r="BN134" s="162">
        <v>1</v>
      </c>
      <c r="BO134" s="162">
        <v>22</v>
      </c>
      <c r="BP134" s="162">
        <v>3</v>
      </c>
      <c r="BQ134" s="163">
        <v>7.7105880230880275E-2</v>
      </c>
      <c r="BR134" s="164">
        <v>15</v>
      </c>
      <c r="BS134" s="164">
        <v>14</v>
      </c>
      <c r="BT134" s="164">
        <v>14</v>
      </c>
      <c r="BU134" s="164">
        <v>15</v>
      </c>
      <c r="BV134" s="165">
        <v>0</v>
      </c>
      <c r="BW134" s="165">
        <v>0</v>
      </c>
      <c r="BX134" s="166">
        <v>0</v>
      </c>
      <c r="BY134" s="166">
        <v>0</v>
      </c>
      <c r="BZ134" s="166">
        <v>13.277777</v>
      </c>
      <c r="CA134" s="166">
        <v>13.277777777777779</v>
      </c>
      <c r="CB134" s="166">
        <v>17.838888888888889</v>
      </c>
      <c r="CC134" s="166">
        <v>12.46111111111111</v>
      </c>
      <c r="CD134" s="166">
        <v>12.527777777777779</v>
      </c>
      <c r="CE134" s="166">
        <v>15.305555555555555</v>
      </c>
      <c r="CF134" s="166">
        <v>19.677777777777777</v>
      </c>
      <c r="CG134" s="166">
        <v>16.838888888888889</v>
      </c>
      <c r="CH134" s="166">
        <v>32.838888888888889</v>
      </c>
      <c r="CI134" s="166">
        <v>40.916666666666664</v>
      </c>
      <c r="CJ134" s="166">
        <v>26.261111111111113</v>
      </c>
      <c r="CK134" s="166">
        <v>0</v>
      </c>
      <c r="CL134" s="166">
        <v>0</v>
      </c>
      <c r="CM134" s="166">
        <v>0</v>
      </c>
      <c r="CN134" s="166">
        <v>94.649999999999991</v>
      </c>
      <c r="CO134" s="166">
        <v>73.75555555555556</v>
      </c>
      <c r="CP134" s="166">
        <v>26.261111111111113</v>
      </c>
      <c r="CQ134" s="166">
        <v>181.68333333333331</v>
      </c>
      <c r="CR134" s="166">
        <v>194.66666666666666</v>
      </c>
      <c r="CS134" s="166">
        <v>207.94444444444443</v>
      </c>
      <c r="CT134" s="166">
        <v>29.788888888888899</v>
      </c>
      <c r="CU134" s="166">
        <v>1</v>
      </c>
      <c r="CV134" s="166">
        <v>30.788888888888899</v>
      </c>
      <c r="CW134" s="166">
        <v>208.94444444444443</v>
      </c>
      <c r="CX134" s="166">
        <v>0</v>
      </c>
      <c r="CY134" s="166">
        <v>0</v>
      </c>
      <c r="CZ134" s="165">
        <v>0</v>
      </c>
      <c r="DA134" s="165">
        <v>0</v>
      </c>
      <c r="DB134" s="165">
        <v>0</v>
      </c>
      <c r="DC134" s="165">
        <v>0</v>
      </c>
      <c r="DD134" s="165">
        <v>0</v>
      </c>
      <c r="DE134" s="165">
        <v>0</v>
      </c>
      <c r="DF134" s="165">
        <v>0</v>
      </c>
      <c r="DG134" s="165">
        <v>0</v>
      </c>
      <c r="DH134" s="165">
        <v>0</v>
      </c>
      <c r="DI134" s="165">
        <v>0</v>
      </c>
      <c r="DJ134" s="165">
        <v>0</v>
      </c>
      <c r="DK134" s="165">
        <v>0</v>
      </c>
      <c r="DL134" s="165">
        <v>0</v>
      </c>
      <c r="DM134" s="165">
        <v>0</v>
      </c>
      <c r="DN134" s="165">
        <v>0</v>
      </c>
      <c r="DO134" s="165">
        <v>0</v>
      </c>
      <c r="DP134" s="165">
        <v>0</v>
      </c>
      <c r="DQ134" s="165">
        <v>0</v>
      </c>
      <c r="DR134" s="165">
        <v>0</v>
      </c>
      <c r="DS134" s="165">
        <v>0</v>
      </c>
      <c r="DT134" s="165">
        <v>0</v>
      </c>
      <c r="DU134" s="165">
        <v>0</v>
      </c>
      <c r="DV134" s="165">
        <v>0</v>
      </c>
      <c r="DW134" s="165">
        <v>0</v>
      </c>
      <c r="DX134" s="165">
        <v>0</v>
      </c>
      <c r="DY134" s="165">
        <v>0</v>
      </c>
      <c r="DZ134" s="165">
        <v>0</v>
      </c>
      <c r="EA134" s="166">
        <v>0</v>
      </c>
      <c r="EB134" s="166">
        <v>0</v>
      </c>
      <c r="EC134" s="166">
        <v>0</v>
      </c>
      <c r="ED134" s="166">
        <v>0</v>
      </c>
      <c r="EE134" s="166">
        <v>0</v>
      </c>
      <c r="EF134" s="166">
        <v>0</v>
      </c>
      <c r="EG134" s="167">
        <v>7.5008056955349844E-2</v>
      </c>
      <c r="EH134" s="165"/>
      <c r="EI134" s="165">
        <v>0</v>
      </c>
      <c r="EJ134" s="165">
        <v>0</v>
      </c>
      <c r="EK134" s="165">
        <v>0</v>
      </c>
      <c r="EL134" s="165">
        <v>0</v>
      </c>
      <c r="EM134" s="165">
        <v>0</v>
      </c>
      <c r="EN134" s="165">
        <v>0</v>
      </c>
      <c r="EO134" s="165">
        <v>0</v>
      </c>
      <c r="EP134" s="165">
        <v>0</v>
      </c>
      <c r="EQ134" s="165">
        <v>0</v>
      </c>
      <c r="ER134" s="165">
        <v>0</v>
      </c>
      <c r="ES134" s="165">
        <v>0</v>
      </c>
      <c r="ET134" s="165">
        <v>1</v>
      </c>
      <c r="EU134" s="166">
        <v>3</v>
      </c>
      <c r="EV134" s="166">
        <v>0</v>
      </c>
      <c r="EW134" s="166">
        <v>0</v>
      </c>
      <c r="EX134" s="166">
        <v>0</v>
      </c>
      <c r="EY134" s="166">
        <v>0</v>
      </c>
      <c r="EZ134" s="166">
        <v>3</v>
      </c>
      <c r="FA134" s="166">
        <v>0</v>
      </c>
      <c r="FB134" s="166">
        <v>0</v>
      </c>
      <c r="FC134" s="166">
        <v>0</v>
      </c>
      <c r="FD134" s="166">
        <v>0</v>
      </c>
      <c r="FE134" s="166">
        <v>0</v>
      </c>
      <c r="FF134" s="166">
        <v>0</v>
      </c>
      <c r="FG134" s="166">
        <v>0</v>
      </c>
      <c r="FH134" s="166">
        <v>0</v>
      </c>
      <c r="FI134" s="166">
        <v>0</v>
      </c>
      <c r="FJ134" s="166">
        <v>0</v>
      </c>
      <c r="FK134" s="166">
        <v>0</v>
      </c>
      <c r="FL134" s="166">
        <v>0</v>
      </c>
      <c r="FM134" s="166">
        <v>0</v>
      </c>
      <c r="FN134" s="166">
        <v>0</v>
      </c>
      <c r="FO134" s="166">
        <v>0</v>
      </c>
      <c r="FP134" s="166">
        <v>0</v>
      </c>
      <c r="FQ134" s="166">
        <v>0</v>
      </c>
      <c r="FR134" s="166">
        <v>0</v>
      </c>
      <c r="FS134" s="166">
        <v>0</v>
      </c>
      <c r="FT134" s="166">
        <v>0</v>
      </c>
      <c r="FU134" s="166">
        <v>0</v>
      </c>
      <c r="FV134" s="166">
        <v>0</v>
      </c>
      <c r="FW134" s="166">
        <v>0</v>
      </c>
      <c r="FX134" s="166">
        <v>0</v>
      </c>
      <c r="FY134" s="166">
        <v>0</v>
      </c>
      <c r="FZ134" s="165">
        <v>0</v>
      </c>
      <c r="GA134" s="165">
        <v>0</v>
      </c>
      <c r="GB134" s="165">
        <v>0</v>
      </c>
      <c r="GC134" s="165">
        <v>0</v>
      </c>
      <c r="GD134" s="165">
        <v>0</v>
      </c>
      <c r="GE134" s="165">
        <v>0</v>
      </c>
      <c r="GF134" s="165">
        <v>0</v>
      </c>
      <c r="GG134" s="165">
        <v>0</v>
      </c>
      <c r="GH134" s="165">
        <v>0</v>
      </c>
      <c r="GI134" s="165">
        <v>0</v>
      </c>
      <c r="GJ134" s="165">
        <v>0</v>
      </c>
      <c r="GK134" s="165">
        <v>0</v>
      </c>
      <c r="GL134" s="165">
        <v>0</v>
      </c>
      <c r="GM134" s="165">
        <v>0</v>
      </c>
      <c r="GN134" s="165">
        <v>0</v>
      </c>
      <c r="GO134" s="165">
        <v>0</v>
      </c>
      <c r="GP134" s="165">
        <v>0</v>
      </c>
      <c r="GQ134" s="165">
        <v>0</v>
      </c>
      <c r="GR134" s="165">
        <v>0</v>
      </c>
      <c r="GS134" s="165">
        <v>0</v>
      </c>
      <c r="GT134" s="165">
        <v>0</v>
      </c>
      <c r="GU134" s="165">
        <v>0</v>
      </c>
      <c r="GV134" s="165">
        <v>0</v>
      </c>
      <c r="GW134" s="165">
        <v>0</v>
      </c>
      <c r="GX134" s="165">
        <v>0</v>
      </c>
      <c r="GY134" s="165">
        <v>0</v>
      </c>
      <c r="GZ134" s="165">
        <v>0</v>
      </c>
      <c r="HA134" s="165">
        <v>0</v>
      </c>
      <c r="HB134" s="166">
        <v>0</v>
      </c>
      <c r="HC134" s="166">
        <v>0</v>
      </c>
      <c r="HD134" s="166">
        <v>0</v>
      </c>
      <c r="HE134" s="166">
        <v>0</v>
      </c>
      <c r="HF134" s="166"/>
      <c r="HG134" s="166">
        <v>0</v>
      </c>
      <c r="HH134" s="166">
        <v>0</v>
      </c>
      <c r="HI134" s="166">
        <v>0</v>
      </c>
      <c r="HJ134" s="166">
        <v>0</v>
      </c>
      <c r="HK134" s="166">
        <v>0</v>
      </c>
      <c r="HL134" s="166">
        <v>0</v>
      </c>
      <c r="HM134" s="166">
        <v>0</v>
      </c>
      <c r="HN134" s="166">
        <v>0</v>
      </c>
      <c r="HO134" s="166">
        <v>0</v>
      </c>
      <c r="HP134" s="166">
        <v>0</v>
      </c>
      <c r="HQ134" s="166">
        <v>0</v>
      </c>
      <c r="HR134" s="166">
        <v>0</v>
      </c>
      <c r="HS134" s="166">
        <v>0</v>
      </c>
      <c r="HT134" s="166">
        <f>FY26_FE_Data_April15[[#This Row],[Oct 1, 2026 (CDC) - K]]+FY26_FE_Data_April15[[#This Row],[Oct 1, 2026 (CDC) - Grades 1-6]]+FY26_FE_Data_April15[[#This Row],[Oct 1, 2026 (CDC) - Grades 7-8]]</f>
        <v>0</v>
      </c>
      <c r="HU134" s="166">
        <v>0</v>
      </c>
      <c r="HW134" s="170"/>
      <c r="HY134" s="170"/>
    </row>
    <row r="135" spans="1:233" ht="39">
      <c r="A135" s="158" t="s">
        <v>617</v>
      </c>
      <c r="B135" s="159" t="s">
        <v>618</v>
      </c>
      <c r="C135" s="160" t="s">
        <v>619</v>
      </c>
      <c r="D135" s="160" t="s">
        <v>139</v>
      </c>
      <c r="E135" s="159" t="s">
        <v>784</v>
      </c>
      <c r="F135" s="159" t="s">
        <v>784</v>
      </c>
      <c r="G135" s="159"/>
      <c r="H135" s="161">
        <v>217.76666666666668</v>
      </c>
      <c r="I135" s="161">
        <v>5</v>
      </c>
      <c r="J135" s="161">
        <v>222.76666666666668</v>
      </c>
      <c r="K135" s="162">
        <v>144</v>
      </c>
      <c r="L135" s="162">
        <v>738</v>
      </c>
      <c r="M135" s="162">
        <v>259</v>
      </c>
      <c r="N135" s="162">
        <v>486</v>
      </c>
      <c r="O135" s="162">
        <v>1627</v>
      </c>
      <c r="P135" s="162">
        <v>1483</v>
      </c>
      <c r="Q135" s="162">
        <v>1141</v>
      </c>
      <c r="R135" s="162">
        <v>3</v>
      </c>
      <c r="S135" s="160">
        <v>142.6</v>
      </c>
      <c r="T135" s="160">
        <v>142.84444444444443</v>
      </c>
      <c r="U135" s="160">
        <v>119.19444444444444</v>
      </c>
      <c r="V135" s="160">
        <v>133.16666666666666</v>
      </c>
      <c r="W135" s="160">
        <v>92.644444444444446</v>
      </c>
      <c r="X135" s="160">
        <v>124.71111111111111</v>
      </c>
      <c r="Y135" s="160">
        <v>115.13333333333334</v>
      </c>
      <c r="Z135" s="160">
        <v>112.88888888888889</v>
      </c>
      <c r="AA135" s="160">
        <v>146.30000000000001</v>
      </c>
      <c r="AB135" s="160">
        <v>140.52777777777777</v>
      </c>
      <c r="AC135" s="160">
        <v>115.24444444444444</v>
      </c>
      <c r="AD135" s="160">
        <v>120.72222222222223</v>
      </c>
      <c r="AE135" s="160">
        <v>89.938888888888883</v>
      </c>
      <c r="AF135" s="160">
        <v>727.69444444444446</v>
      </c>
      <c r="AG135" s="160">
        <v>259.18888888888887</v>
      </c>
      <c r="AH135" s="160">
        <v>466.43333333333328</v>
      </c>
      <c r="AI135" s="160">
        <v>1129.4833333333333</v>
      </c>
      <c r="AJ135" s="160">
        <v>1453.3166666666668</v>
      </c>
      <c r="AK135" s="160">
        <v>1595.9166666666667</v>
      </c>
      <c r="AL135" s="161">
        <v>212.79444444444445</v>
      </c>
      <c r="AM135" s="161">
        <v>3</v>
      </c>
      <c r="AN135" s="161">
        <v>215.79444444444445</v>
      </c>
      <c r="AO135" s="161">
        <v>1598.9166666666667</v>
      </c>
      <c r="AP135" s="162">
        <v>130</v>
      </c>
      <c r="AQ135" s="168">
        <v>133</v>
      </c>
      <c r="AR135" s="160">
        <v>133</v>
      </c>
      <c r="AS135" s="160">
        <v>116</v>
      </c>
      <c r="AT135" s="160">
        <v>131</v>
      </c>
      <c r="AU135" s="160">
        <v>99</v>
      </c>
      <c r="AV135" s="160">
        <v>124</v>
      </c>
      <c r="AW135" s="160">
        <v>128</v>
      </c>
      <c r="AX135" s="160">
        <v>117</v>
      </c>
      <c r="AY135" s="160">
        <v>161</v>
      </c>
      <c r="AZ135" s="160">
        <v>127</v>
      </c>
      <c r="BA135" s="160">
        <v>107</v>
      </c>
      <c r="BB135" s="160">
        <v>112</v>
      </c>
      <c r="BC135" s="160">
        <v>736</v>
      </c>
      <c r="BD135" s="160">
        <v>245</v>
      </c>
      <c r="BE135" s="160">
        <v>507</v>
      </c>
      <c r="BF135" s="160">
        <v>1111</v>
      </c>
      <c r="BG135" s="160">
        <v>1488</v>
      </c>
      <c r="BH135" s="160">
        <v>1618</v>
      </c>
      <c r="BI135" s="160">
        <v>111</v>
      </c>
      <c r="BJ135" s="160">
        <v>19</v>
      </c>
      <c r="BK135" s="160">
        <v>1</v>
      </c>
      <c r="BL135" s="160">
        <v>643</v>
      </c>
      <c r="BM135" s="160">
        <v>219</v>
      </c>
      <c r="BN135" s="162">
        <v>4</v>
      </c>
      <c r="BO135" s="162">
        <v>223</v>
      </c>
      <c r="BP135" s="162">
        <v>136</v>
      </c>
      <c r="BQ135" s="163">
        <v>6.776462085835E-2</v>
      </c>
      <c r="BR135" s="164">
        <v>92.37</v>
      </c>
      <c r="BS135" s="164">
        <v>88.37</v>
      </c>
      <c r="BT135" s="164">
        <v>86.37</v>
      </c>
      <c r="BU135" s="164">
        <v>94.37</v>
      </c>
      <c r="BV135" s="165">
        <v>0</v>
      </c>
      <c r="BW135" s="165">
        <v>0</v>
      </c>
      <c r="BX135" s="166">
        <v>0</v>
      </c>
      <c r="BY135" s="166">
        <v>18.166665999999999</v>
      </c>
      <c r="BZ135" s="166">
        <v>104.366666</v>
      </c>
      <c r="CA135" s="166">
        <v>122.53333333333333</v>
      </c>
      <c r="CB135" s="166">
        <v>131.86111111111111</v>
      </c>
      <c r="CC135" s="166">
        <v>128.75</v>
      </c>
      <c r="CD135" s="166">
        <v>113.61666666666666</v>
      </c>
      <c r="CE135" s="166">
        <v>130.26666666666668</v>
      </c>
      <c r="CF135" s="166">
        <v>96.777777777777771</v>
      </c>
      <c r="CG135" s="166">
        <v>123.62777777777778</v>
      </c>
      <c r="CH135" s="166">
        <v>124.03333333333333</v>
      </c>
      <c r="CI135" s="166">
        <v>112.31666666666666</v>
      </c>
      <c r="CJ135" s="166">
        <v>155.12777777777777</v>
      </c>
      <c r="CK135" s="166">
        <v>125.05</v>
      </c>
      <c r="CL135" s="166">
        <v>106.52777777777777</v>
      </c>
      <c r="CM135" s="166">
        <v>111.82222222222222</v>
      </c>
      <c r="CN135" s="166">
        <v>724.89999999999986</v>
      </c>
      <c r="CO135" s="166">
        <v>236.35</v>
      </c>
      <c r="CP135" s="166">
        <v>498.52777777777771</v>
      </c>
      <c r="CQ135" s="166">
        <v>1083.7833333333333</v>
      </c>
      <c r="CR135" s="166">
        <v>1459.7777777777776</v>
      </c>
      <c r="CS135" s="166">
        <v>1582.3111111111111</v>
      </c>
      <c r="CT135" s="166">
        <v>225.333333333333</v>
      </c>
      <c r="CU135" s="166">
        <v>7.68888888888889</v>
      </c>
      <c r="CV135" s="166">
        <v>233.0222222222219</v>
      </c>
      <c r="CW135" s="166">
        <v>1590</v>
      </c>
      <c r="CX135" s="166">
        <v>0</v>
      </c>
      <c r="CY135" s="166">
        <v>98</v>
      </c>
      <c r="CZ135" s="165">
        <v>19</v>
      </c>
      <c r="DA135" s="165">
        <v>117</v>
      </c>
      <c r="DB135" s="165">
        <v>125</v>
      </c>
      <c r="DC135" s="165">
        <v>126</v>
      </c>
      <c r="DD135" s="165">
        <v>134</v>
      </c>
      <c r="DE135" s="165">
        <v>111</v>
      </c>
      <c r="DF135" s="165">
        <v>131</v>
      </c>
      <c r="DG135" s="165">
        <v>100</v>
      </c>
      <c r="DH135" s="165">
        <v>144</v>
      </c>
      <c r="DI135" s="165">
        <v>132</v>
      </c>
      <c r="DJ135" s="165">
        <v>121</v>
      </c>
      <c r="DK135" s="165">
        <v>141</v>
      </c>
      <c r="DL135" s="165">
        <v>111</v>
      </c>
      <c r="DM135" s="165">
        <v>99</v>
      </c>
      <c r="DN135" s="165">
        <v>727</v>
      </c>
      <c r="DO135" s="165">
        <v>276</v>
      </c>
      <c r="DP135" s="165">
        <v>472</v>
      </c>
      <c r="DQ135" s="165">
        <v>1120</v>
      </c>
      <c r="DR135" s="165">
        <v>1475</v>
      </c>
      <c r="DS135" s="165">
        <v>1592</v>
      </c>
      <c r="DT135" s="165">
        <v>1</v>
      </c>
      <c r="DU135" s="165">
        <v>590</v>
      </c>
      <c r="DV135" s="165">
        <v>220</v>
      </c>
      <c r="DW135" s="165">
        <v>8</v>
      </c>
      <c r="DX135" s="165">
        <v>228</v>
      </c>
      <c r="DY135" s="165">
        <v>1600</v>
      </c>
      <c r="DZ135" s="165">
        <v>139</v>
      </c>
      <c r="EA135" s="166">
        <v>99.37</v>
      </c>
      <c r="EB135" s="166">
        <v>95.37</v>
      </c>
      <c r="EC135" s="166">
        <v>39.51</v>
      </c>
      <c r="ED135" s="166">
        <v>48.73</v>
      </c>
      <c r="EE135" s="166">
        <v>0</v>
      </c>
      <c r="EF135" s="166">
        <v>100.75</v>
      </c>
      <c r="EG135" s="167">
        <v>6.4004848447886675E-2</v>
      </c>
      <c r="EH135" s="165"/>
      <c r="EI135" s="165">
        <v>120</v>
      </c>
      <c r="EJ135" s="165">
        <v>1459</v>
      </c>
      <c r="EK135" s="165">
        <v>754</v>
      </c>
      <c r="EL135" s="165">
        <v>228</v>
      </c>
      <c r="EM135" s="165">
        <v>477</v>
      </c>
      <c r="EN135" s="165">
        <v>1579</v>
      </c>
      <c r="EO135" s="165">
        <v>0</v>
      </c>
      <c r="EP135" s="165">
        <v>233</v>
      </c>
      <c r="EQ135" s="165">
        <v>233</v>
      </c>
      <c r="ER135" s="165">
        <v>225</v>
      </c>
      <c r="ES135" s="165">
        <v>8</v>
      </c>
      <c r="ET135" s="165">
        <v>7</v>
      </c>
      <c r="EU135" s="166">
        <v>29.25</v>
      </c>
      <c r="EV135" s="166">
        <v>1</v>
      </c>
      <c r="EW135" s="166">
        <v>10.5</v>
      </c>
      <c r="EX135" s="166">
        <v>0.5</v>
      </c>
      <c r="EY135" s="166">
        <v>9.5</v>
      </c>
      <c r="EZ135" s="166">
        <v>50.75</v>
      </c>
      <c r="FA135" s="166">
        <v>18.766666666666666</v>
      </c>
      <c r="FB135" s="166">
        <v>94.138888888888886</v>
      </c>
      <c r="FC135" s="166">
        <v>112.90555555555555</v>
      </c>
      <c r="FD135" s="166">
        <v>124.35555555555555</v>
      </c>
      <c r="FE135" s="166">
        <v>127.63333333333334</v>
      </c>
      <c r="FF135" s="166">
        <v>132.13333333333333</v>
      </c>
      <c r="FG135" s="166">
        <v>107.49444444444444</v>
      </c>
      <c r="FH135" s="166">
        <v>130.35555555555555</v>
      </c>
      <c r="FI135" s="166">
        <v>100.30555555555556</v>
      </c>
      <c r="FJ135" s="166">
        <v>138.32222222222222</v>
      </c>
      <c r="FK135" s="166">
        <v>126.34444444444445</v>
      </c>
      <c r="FL135" s="166">
        <v>123.22222222222223</v>
      </c>
      <c r="FM135" s="166">
        <v>138.42222222222222</v>
      </c>
      <c r="FN135" s="166">
        <v>108.47222222222223</v>
      </c>
      <c r="FO135" s="166">
        <v>97.655555555555551</v>
      </c>
      <c r="FP135" s="166">
        <v>722.27777777777771</v>
      </c>
      <c r="FQ135" s="166">
        <v>264.66666666666669</v>
      </c>
      <c r="FR135" s="166">
        <v>467.77222222222224</v>
      </c>
      <c r="FS135" s="166">
        <v>1099.8499999999999</v>
      </c>
      <c r="FT135" s="166">
        <v>1454.7166666666665</v>
      </c>
      <c r="FU135" s="166">
        <v>1567.622222222222</v>
      </c>
      <c r="FV135" s="166">
        <v>222.3</v>
      </c>
      <c r="FW135" s="166">
        <v>9</v>
      </c>
      <c r="FX135" s="166">
        <v>231.3</v>
      </c>
      <c r="FY135" s="166">
        <v>1576.622222222222</v>
      </c>
      <c r="FZ135" s="165">
        <v>25</v>
      </c>
      <c r="GA135" s="165">
        <v>101</v>
      </c>
      <c r="GB135" s="165">
        <v>126</v>
      </c>
      <c r="GC135" s="165">
        <v>111</v>
      </c>
      <c r="GD135" s="165">
        <v>128</v>
      </c>
      <c r="GE135" s="165">
        <v>130</v>
      </c>
      <c r="GF135" s="165">
        <v>132</v>
      </c>
      <c r="GG135" s="165">
        <v>113</v>
      </c>
      <c r="GH135" s="165">
        <v>135</v>
      </c>
      <c r="GI135" s="165">
        <v>116</v>
      </c>
      <c r="GJ135" s="165">
        <v>141</v>
      </c>
      <c r="GK135" s="165">
        <v>144</v>
      </c>
      <c r="GL135" s="165">
        <v>125</v>
      </c>
      <c r="GM135" s="165">
        <v>133</v>
      </c>
      <c r="GN135" s="165">
        <v>105</v>
      </c>
      <c r="GO135" s="165">
        <v>749</v>
      </c>
      <c r="GP135" s="165">
        <v>257</v>
      </c>
      <c r="GQ135" s="165">
        <v>507</v>
      </c>
      <c r="GR135" s="165">
        <v>1132</v>
      </c>
      <c r="GS135" s="165">
        <v>1513</v>
      </c>
      <c r="GT135" s="165">
        <v>1639</v>
      </c>
      <c r="GU135" s="165">
        <v>0</v>
      </c>
      <c r="GV135" s="165">
        <v>532</v>
      </c>
      <c r="GW135" s="165">
        <v>200</v>
      </c>
      <c r="GX135" s="165">
        <v>7</v>
      </c>
      <c r="GY135" s="165">
        <v>207</v>
      </c>
      <c r="GZ135" s="165">
        <v>1646</v>
      </c>
      <c r="HA135" s="165">
        <v>101</v>
      </c>
      <c r="HB135" s="166">
        <v>96.123999999999995</v>
      </c>
      <c r="HC135" s="166">
        <v>93.123999999999995</v>
      </c>
      <c r="HD135" s="166">
        <v>39.859999999999992</v>
      </c>
      <c r="HE135" s="166">
        <v>44.534000000000006</v>
      </c>
      <c r="HF135" s="166"/>
      <c r="HG135" s="166">
        <v>99.004000000000005</v>
      </c>
      <c r="HH135" s="166">
        <v>0</v>
      </c>
      <c r="HI135" s="166">
        <v>222</v>
      </c>
      <c r="HJ135" s="166">
        <v>222</v>
      </c>
      <c r="HK135" s="166">
        <v>214</v>
      </c>
      <c r="HL135" s="166">
        <v>8</v>
      </c>
      <c r="HM135" s="166">
        <v>6</v>
      </c>
      <c r="HN135" s="166">
        <v>125</v>
      </c>
      <c r="HO135" s="166">
        <v>1514</v>
      </c>
      <c r="HP135" s="166">
        <v>746</v>
      </c>
      <c r="HQ135" s="166">
        <v>258</v>
      </c>
      <c r="HR135" s="166">
        <v>510</v>
      </c>
      <c r="HS135" s="166">
        <v>1639</v>
      </c>
      <c r="HT135" s="166">
        <f>FY26_FE_Data_April15[[#This Row],[Oct 1, 2026 (CDC) - K]]+FY26_FE_Data_April15[[#This Row],[Oct 1, 2026 (CDC) - Grades 1-6]]+FY26_FE_Data_April15[[#This Row],[Oct 1, 2026 (CDC) - Grades 7-8]]</f>
        <v>1129</v>
      </c>
      <c r="HU135" s="166">
        <v>0</v>
      </c>
      <c r="HW135" s="170"/>
      <c r="HY135" s="170"/>
    </row>
    <row r="136" spans="1:233" ht="26">
      <c r="A136" s="158" t="s">
        <v>620</v>
      </c>
      <c r="B136" s="159" t="s">
        <v>621</v>
      </c>
      <c r="C136" s="160" t="s">
        <v>622</v>
      </c>
      <c r="D136" s="160" t="s">
        <v>139</v>
      </c>
      <c r="E136" s="159" t="s">
        <v>784</v>
      </c>
      <c r="F136" s="159" t="s">
        <v>784</v>
      </c>
      <c r="G136" s="159"/>
      <c r="H136" s="161">
        <v>76.711111111111109</v>
      </c>
      <c r="I136" s="161">
        <v>4.75</v>
      </c>
      <c r="J136" s="161">
        <v>81.461111111111109</v>
      </c>
      <c r="K136" s="162">
        <v>104</v>
      </c>
      <c r="L136" s="162">
        <v>557</v>
      </c>
      <c r="M136" s="162">
        <v>70</v>
      </c>
      <c r="N136" s="162">
        <v>21</v>
      </c>
      <c r="O136" s="162">
        <v>752</v>
      </c>
      <c r="P136" s="162">
        <v>648</v>
      </c>
      <c r="Q136" s="162">
        <v>731</v>
      </c>
      <c r="R136" s="162">
        <v>9</v>
      </c>
      <c r="S136" s="160">
        <v>103</v>
      </c>
      <c r="T136" s="160">
        <v>98.683333333333337</v>
      </c>
      <c r="U136" s="160">
        <v>96.722222222222229</v>
      </c>
      <c r="V136" s="160">
        <v>91.088888888888889</v>
      </c>
      <c r="W136" s="160">
        <v>95.833333333333329</v>
      </c>
      <c r="X136" s="160">
        <v>78.349999999999994</v>
      </c>
      <c r="Y136" s="160">
        <v>79.894444444444446</v>
      </c>
      <c r="Z136" s="160">
        <v>36.111111111111114</v>
      </c>
      <c r="AA136" s="160">
        <v>29.75</v>
      </c>
      <c r="AB136" s="160">
        <v>21.372222222222224</v>
      </c>
      <c r="AC136" s="160">
        <v>0</v>
      </c>
      <c r="AD136" s="160">
        <v>0</v>
      </c>
      <c r="AE136" s="160">
        <v>0</v>
      </c>
      <c r="AF136" s="160">
        <v>540.57222222222231</v>
      </c>
      <c r="AG136" s="160">
        <v>65.861111111111114</v>
      </c>
      <c r="AH136" s="160">
        <v>21.372222222222224</v>
      </c>
      <c r="AI136" s="160">
        <v>709.43333333333339</v>
      </c>
      <c r="AJ136" s="160">
        <v>627.80555555555566</v>
      </c>
      <c r="AK136" s="160">
        <v>730.80555555555566</v>
      </c>
      <c r="AL136" s="161">
        <v>90.99444444444444</v>
      </c>
      <c r="AM136" s="161">
        <v>9.0388888888888896</v>
      </c>
      <c r="AN136" s="161">
        <v>100.03333333333333</v>
      </c>
      <c r="AO136" s="161">
        <v>739.84444444444455</v>
      </c>
      <c r="AP136" s="162">
        <v>106</v>
      </c>
      <c r="AQ136" s="168">
        <v>96</v>
      </c>
      <c r="AR136" s="160">
        <v>106</v>
      </c>
      <c r="AS136" s="160">
        <v>102</v>
      </c>
      <c r="AT136" s="160">
        <v>96</v>
      </c>
      <c r="AU136" s="160">
        <v>99</v>
      </c>
      <c r="AV136" s="160">
        <v>78</v>
      </c>
      <c r="AW136" s="160">
        <v>0</v>
      </c>
      <c r="AX136" s="160">
        <v>0</v>
      </c>
      <c r="AY136" s="160">
        <v>0</v>
      </c>
      <c r="AZ136" s="160">
        <v>0</v>
      </c>
      <c r="BA136" s="160">
        <v>0</v>
      </c>
      <c r="BB136" s="160">
        <v>0</v>
      </c>
      <c r="BC136" s="160">
        <v>577</v>
      </c>
      <c r="BD136" s="160">
        <v>0</v>
      </c>
      <c r="BE136" s="160">
        <v>0</v>
      </c>
      <c r="BF136" s="160">
        <v>683</v>
      </c>
      <c r="BG136" s="160">
        <v>577</v>
      </c>
      <c r="BH136" s="160">
        <v>683</v>
      </c>
      <c r="BI136" s="160">
        <v>106</v>
      </c>
      <c r="BJ136" s="160">
        <v>0</v>
      </c>
      <c r="BK136" s="160">
        <v>0</v>
      </c>
      <c r="BL136" s="160">
        <v>42</v>
      </c>
      <c r="BM136" s="160">
        <v>67</v>
      </c>
      <c r="BN136" s="162">
        <v>3</v>
      </c>
      <c r="BO136" s="162">
        <v>70</v>
      </c>
      <c r="BP136" s="162">
        <v>2</v>
      </c>
      <c r="BQ136" s="163">
        <v>5.8480039672700268E-2</v>
      </c>
      <c r="BR136" s="164">
        <v>34.75</v>
      </c>
      <c r="BS136" s="164">
        <v>33.75</v>
      </c>
      <c r="BT136" s="164">
        <v>33</v>
      </c>
      <c r="BU136" s="164">
        <v>36</v>
      </c>
      <c r="BV136" s="165">
        <v>0</v>
      </c>
      <c r="BW136" s="165">
        <v>0</v>
      </c>
      <c r="BX136" s="166">
        <v>0</v>
      </c>
      <c r="BY136" s="166">
        <v>0</v>
      </c>
      <c r="BZ136" s="166">
        <v>105.62222199999999</v>
      </c>
      <c r="CA136" s="166">
        <v>105.62222222222222</v>
      </c>
      <c r="CB136" s="166">
        <v>92.522222222222226</v>
      </c>
      <c r="CC136" s="166">
        <v>104.61111111111111</v>
      </c>
      <c r="CD136" s="166">
        <v>100.79444444444445</v>
      </c>
      <c r="CE136" s="166">
        <v>92.083333333333329</v>
      </c>
      <c r="CF136" s="166">
        <v>97.75</v>
      </c>
      <c r="CG136" s="166">
        <v>75.927777777777777</v>
      </c>
      <c r="CH136" s="166">
        <v>0</v>
      </c>
      <c r="CI136" s="166">
        <v>0</v>
      </c>
      <c r="CJ136" s="166">
        <v>0</v>
      </c>
      <c r="CK136" s="166">
        <v>0</v>
      </c>
      <c r="CL136" s="166">
        <v>0</v>
      </c>
      <c r="CM136" s="166">
        <v>0</v>
      </c>
      <c r="CN136" s="166">
        <v>563.68888888888887</v>
      </c>
      <c r="CO136" s="166">
        <v>0</v>
      </c>
      <c r="CP136" s="166">
        <v>0</v>
      </c>
      <c r="CQ136" s="166">
        <v>669.31111111111125</v>
      </c>
      <c r="CR136" s="166">
        <v>563.68888888888887</v>
      </c>
      <c r="CS136" s="166">
        <v>669.31111111111125</v>
      </c>
      <c r="CT136" s="166">
        <v>70.377777777777794</v>
      </c>
      <c r="CU136" s="166">
        <v>3</v>
      </c>
      <c r="CV136" s="166">
        <v>73.377777777777794</v>
      </c>
      <c r="CW136" s="166">
        <v>672.31111111111125</v>
      </c>
      <c r="CX136" s="166">
        <v>0</v>
      </c>
      <c r="CY136" s="166">
        <v>95</v>
      </c>
      <c r="CZ136" s="165">
        <v>0</v>
      </c>
      <c r="DA136" s="165">
        <v>95</v>
      </c>
      <c r="DB136" s="165">
        <v>92</v>
      </c>
      <c r="DC136" s="165">
        <v>86</v>
      </c>
      <c r="DD136" s="165">
        <v>103</v>
      </c>
      <c r="DE136" s="165">
        <v>102</v>
      </c>
      <c r="DF136" s="165">
        <v>89</v>
      </c>
      <c r="DG136" s="165">
        <v>94</v>
      </c>
      <c r="DH136" s="165">
        <v>0</v>
      </c>
      <c r="DI136" s="165">
        <v>0</v>
      </c>
      <c r="DJ136" s="165">
        <v>0</v>
      </c>
      <c r="DK136" s="165">
        <v>0</v>
      </c>
      <c r="DL136" s="165">
        <v>0</v>
      </c>
      <c r="DM136" s="165">
        <v>0</v>
      </c>
      <c r="DN136" s="165">
        <v>566</v>
      </c>
      <c r="DO136" s="165">
        <v>0</v>
      </c>
      <c r="DP136" s="165">
        <v>0</v>
      </c>
      <c r="DQ136" s="165">
        <v>661</v>
      </c>
      <c r="DR136" s="165">
        <v>566</v>
      </c>
      <c r="DS136" s="165">
        <v>661</v>
      </c>
      <c r="DT136" s="165">
        <v>0</v>
      </c>
      <c r="DU136" s="165">
        <v>25</v>
      </c>
      <c r="DV136" s="165">
        <v>75</v>
      </c>
      <c r="DW136" s="165">
        <v>2</v>
      </c>
      <c r="DX136" s="165">
        <v>77</v>
      </c>
      <c r="DY136" s="165">
        <v>663</v>
      </c>
      <c r="DZ136" s="165">
        <v>2</v>
      </c>
      <c r="EA136" s="166">
        <v>34.75</v>
      </c>
      <c r="EB136" s="166">
        <v>33.75</v>
      </c>
      <c r="EC136" s="166">
        <v>31</v>
      </c>
      <c r="ED136" s="166">
        <v>0</v>
      </c>
      <c r="EE136" s="166">
        <v>1</v>
      </c>
      <c r="EF136" s="166">
        <v>35</v>
      </c>
      <c r="EG136" s="167">
        <v>6.0707676779005237E-2</v>
      </c>
      <c r="EH136" s="165"/>
      <c r="EI136" s="165">
        <v>94</v>
      </c>
      <c r="EJ136" s="165">
        <v>565</v>
      </c>
      <c r="EK136" s="165">
        <v>565</v>
      </c>
      <c r="EL136" s="165">
        <v>0</v>
      </c>
      <c r="EM136" s="165">
        <v>0</v>
      </c>
      <c r="EN136" s="165">
        <v>659</v>
      </c>
      <c r="EO136" s="165">
        <v>0</v>
      </c>
      <c r="EP136" s="165">
        <v>77</v>
      </c>
      <c r="EQ136" s="165">
        <v>77</v>
      </c>
      <c r="ER136" s="165">
        <v>75</v>
      </c>
      <c r="ES136" s="165">
        <v>2</v>
      </c>
      <c r="ET136" s="165">
        <v>9</v>
      </c>
      <c r="EU136" s="166">
        <v>19.5</v>
      </c>
      <c r="EV136" s="166">
        <v>1</v>
      </c>
      <c r="EW136" s="166">
        <v>2</v>
      </c>
      <c r="EX136" s="166">
        <v>0</v>
      </c>
      <c r="EY136" s="166">
        <v>1</v>
      </c>
      <c r="EZ136" s="166">
        <v>23.5</v>
      </c>
      <c r="FA136" s="166">
        <v>0</v>
      </c>
      <c r="FB136" s="166">
        <v>94.74444444444444</v>
      </c>
      <c r="FC136" s="166">
        <v>94.74444444444444</v>
      </c>
      <c r="FD136" s="166">
        <v>95.7</v>
      </c>
      <c r="FE136" s="166">
        <v>86.63333333333334</v>
      </c>
      <c r="FF136" s="166">
        <v>103.69444444444444</v>
      </c>
      <c r="FG136" s="166">
        <v>99.783333333333331</v>
      </c>
      <c r="FH136" s="166">
        <v>87.061111111111117</v>
      </c>
      <c r="FI136" s="166">
        <v>92.333333333333329</v>
      </c>
      <c r="FJ136" s="166">
        <v>0</v>
      </c>
      <c r="FK136" s="166">
        <v>0</v>
      </c>
      <c r="FL136" s="166">
        <v>0</v>
      </c>
      <c r="FM136" s="166">
        <v>0</v>
      </c>
      <c r="FN136" s="166">
        <v>0</v>
      </c>
      <c r="FO136" s="166">
        <v>0</v>
      </c>
      <c r="FP136" s="166">
        <v>565.20555555555563</v>
      </c>
      <c r="FQ136" s="166">
        <v>0</v>
      </c>
      <c r="FR136" s="166">
        <v>0</v>
      </c>
      <c r="FS136" s="166">
        <v>659.95</v>
      </c>
      <c r="FT136" s="166">
        <v>565.20555555555563</v>
      </c>
      <c r="FU136" s="166">
        <v>659.95</v>
      </c>
      <c r="FV136" s="166">
        <v>77.86666666666666</v>
      </c>
      <c r="FW136" s="166">
        <v>2</v>
      </c>
      <c r="FX136" s="166">
        <v>79.86666666666666</v>
      </c>
      <c r="FY136" s="166">
        <v>661.95</v>
      </c>
      <c r="FZ136" s="165">
        <v>0</v>
      </c>
      <c r="GA136" s="165">
        <v>108</v>
      </c>
      <c r="GB136" s="165">
        <v>108</v>
      </c>
      <c r="GC136" s="165">
        <v>97</v>
      </c>
      <c r="GD136" s="165">
        <v>107</v>
      </c>
      <c r="GE136" s="165">
        <v>91</v>
      </c>
      <c r="GF136" s="165">
        <v>103</v>
      </c>
      <c r="GG136" s="165">
        <v>105</v>
      </c>
      <c r="GH136" s="165">
        <v>79</v>
      </c>
      <c r="GI136" s="165">
        <v>0</v>
      </c>
      <c r="GJ136" s="165">
        <v>0</v>
      </c>
      <c r="GK136" s="165">
        <v>0</v>
      </c>
      <c r="GL136" s="165">
        <v>0</v>
      </c>
      <c r="GM136" s="165">
        <v>0</v>
      </c>
      <c r="GN136" s="165">
        <v>0</v>
      </c>
      <c r="GO136" s="165">
        <v>582</v>
      </c>
      <c r="GP136" s="165">
        <v>0</v>
      </c>
      <c r="GQ136" s="165">
        <v>0</v>
      </c>
      <c r="GR136" s="165">
        <v>690</v>
      </c>
      <c r="GS136" s="165">
        <v>582</v>
      </c>
      <c r="GT136" s="165">
        <v>690</v>
      </c>
      <c r="GU136" s="165">
        <v>0</v>
      </c>
      <c r="GV136" s="165">
        <v>40</v>
      </c>
      <c r="GW136" s="165">
        <v>85</v>
      </c>
      <c r="GX136" s="165">
        <v>2</v>
      </c>
      <c r="GY136" s="165">
        <v>87</v>
      </c>
      <c r="GZ136" s="165">
        <v>692</v>
      </c>
      <c r="HA136" s="165">
        <v>2</v>
      </c>
      <c r="HB136" s="166">
        <v>34.75</v>
      </c>
      <c r="HC136" s="166">
        <v>33.75</v>
      </c>
      <c r="HD136" s="166">
        <v>32</v>
      </c>
      <c r="HE136" s="166">
        <v>0</v>
      </c>
      <c r="HF136" s="166"/>
      <c r="HG136" s="166">
        <v>35</v>
      </c>
      <c r="HH136" s="166">
        <v>0</v>
      </c>
      <c r="HI136" s="166">
        <v>94</v>
      </c>
      <c r="HJ136" s="166">
        <v>94</v>
      </c>
      <c r="HK136" s="166">
        <v>92</v>
      </c>
      <c r="HL136" s="166">
        <v>2</v>
      </c>
      <c r="HM136" s="166">
        <v>9</v>
      </c>
      <c r="HN136" s="166">
        <v>90</v>
      </c>
      <c r="HO136" s="166">
        <v>610</v>
      </c>
      <c r="HP136" s="166">
        <v>610</v>
      </c>
      <c r="HQ136" s="166">
        <v>0</v>
      </c>
      <c r="HR136" s="166">
        <v>0</v>
      </c>
      <c r="HS136" s="166">
        <v>700</v>
      </c>
      <c r="HT136" s="166">
        <f>FY26_FE_Data_April15[[#This Row],[Oct 1, 2026 (CDC) - K]]+FY26_FE_Data_April15[[#This Row],[Oct 1, 2026 (CDC) - Grades 1-6]]+FY26_FE_Data_April15[[#This Row],[Oct 1, 2026 (CDC) - Grades 7-8]]</f>
        <v>700</v>
      </c>
      <c r="HU136" s="166">
        <v>0</v>
      </c>
      <c r="HW136" s="170"/>
      <c r="HY136" s="170"/>
    </row>
    <row r="137" spans="1:233" ht="52">
      <c r="A137" s="158" t="s">
        <v>623</v>
      </c>
      <c r="B137" s="159" t="s">
        <v>624</v>
      </c>
      <c r="C137" s="160" t="s">
        <v>625</v>
      </c>
      <c r="D137" s="160" t="s">
        <v>139</v>
      </c>
      <c r="E137" s="159" t="s">
        <v>784</v>
      </c>
      <c r="F137" s="159" t="s">
        <v>784</v>
      </c>
      <c r="G137" s="159"/>
      <c r="H137" s="161">
        <v>54.87222222222222</v>
      </c>
      <c r="I137" s="161">
        <v>2.0055555555555555</v>
      </c>
      <c r="J137" s="161">
        <v>56.877777777777773</v>
      </c>
      <c r="K137" s="162">
        <v>40</v>
      </c>
      <c r="L137" s="162">
        <v>207</v>
      </c>
      <c r="M137" s="162">
        <v>39</v>
      </c>
      <c r="N137" s="162">
        <v>0</v>
      </c>
      <c r="O137" s="162">
        <v>286</v>
      </c>
      <c r="P137" s="162">
        <v>246</v>
      </c>
      <c r="Q137" s="162">
        <v>286</v>
      </c>
      <c r="R137" s="162">
        <v>1</v>
      </c>
      <c r="S137" s="160">
        <v>42.205555555555556</v>
      </c>
      <c r="T137" s="160">
        <v>35.055555555555557</v>
      </c>
      <c r="U137" s="160">
        <v>41.755555555555553</v>
      </c>
      <c r="V137" s="160">
        <v>45.394444444444446</v>
      </c>
      <c r="W137" s="160">
        <v>35.738888888888887</v>
      </c>
      <c r="X137" s="160">
        <v>24.838888888888889</v>
      </c>
      <c r="Y137" s="160">
        <v>23.183333333333334</v>
      </c>
      <c r="Z137" s="160">
        <v>14.372222222222222</v>
      </c>
      <c r="AA137" s="160">
        <v>24</v>
      </c>
      <c r="AB137" s="160">
        <v>0</v>
      </c>
      <c r="AC137" s="160">
        <v>0</v>
      </c>
      <c r="AD137" s="160">
        <v>0</v>
      </c>
      <c r="AE137" s="160">
        <v>0</v>
      </c>
      <c r="AF137" s="160">
        <v>205.96666666666664</v>
      </c>
      <c r="AG137" s="160">
        <v>38.37222222222222</v>
      </c>
      <c r="AH137" s="160">
        <v>0</v>
      </c>
      <c r="AI137" s="160">
        <v>286.54444444444442</v>
      </c>
      <c r="AJ137" s="160">
        <v>244.33888888888887</v>
      </c>
      <c r="AK137" s="160">
        <v>286.54444444444442</v>
      </c>
      <c r="AL137" s="161">
        <v>45.461111111111109</v>
      </c>
      <c r="AM137" s="161">
        <v>0.45555555555555555</v>
      </c>
      <c r="AN137" s="161">
        <v>45.916666666666664</v>
      </c>
      <c r="AO137" s="161">
        <v>287</v>
      </c>
      <c r="AP137" s="162">
        <v>27</v>
      </c>
      <c r="AQ137" s="168">
        <v>40</v>
      </c>
      <c r="AR137" s="160">
        <v>30</v>
      </c>
      <c r="AS137" s="160">
        <v>39</v>
      </c>
      <c r="AT137" s="160">
        <v>44</v>
      </c>
      <c r="AU137" s="160">
        <v>22</v>
      </c>
      <c r="AV137" s="160">
        <v>27</v>
      </c>
      <c r="AW137" s="160">
        <v>22</v>
      </c>
      <c r="AX137" s="160">
        <v>14</v>
      </c>
      <c r="AY137" s="160">
        <v>0</v>
      </c>
      <c r="AZ137" s="160">
        <v>0</v>
      </c>
      <c r="BA137" s="160">
        <v>0</v>
      </c>
      <c r="BB137" s="160">
        <v>0</v>
      </c>
      <c r="BC137" s="160">
        <v>202</v>
      </c>
      <c r="BD137" s="160">
        <v>36</v>
      </c>
      <c r="BE137" s="160">
        <v>0</v>
      </c>
      <c r="BF137" s="160">
        <v>265</v>
      </c>
      <c r="BG137" s="160">
        <v>238</v>
      </c>
      <c r="BH137" s="160">
        <v>265</v>
      </c>
      <c r="BI137" s="160">
        <v>27</v>
      </c>
      <c r="BJ137" s="160">
        <v>0</v>
      </c>
      <c r="BK137" s="160">
        <v>0</v>
      </c>
      <c r="BL137" s="160">
        <v>97</v>
      </c>
      <c r="BM137" s="160">
        <v>42</v>
      </c>
      <c r="BN137" s="162">
        <v>0</v>
      </c>
      <c r="BO137" s="162">
        <v>42</v>
      </c>
      <c r="BP137" s="162">
        <v>18</v>
      </c>
      <c r="BQ137" s="163">
        <v>0.10243055555555558</v>
      </c>
      <c r="BR137" s="164">
        <v>17.763999999999999</v>
      </c>
      <c r="BS137" s="164">
        <v>17</v>
      </c>
      <c r="BT137" s="164">
        <v>17</v>
      </c>
      <c r="BU137" s="164">
        <v>17.763999999999999</v>
      </c>
      <c r="BV137" s="165">
        <v>0</v>
      </c>
      <c r="BW137" s="165">
        <v>0</v>
      </c>
      <c r="BX137" s="166">
        <v>0</v>
      </c>
      <c r="BY137" s="166">
        <v>0</v>
      </c>
      <c r="BZ137" s="166">
        <v>28.883333</v>
      </c>
      <c r="CA137" s="166">
        <v>28.883333333333333</v>
      </c>
      <c r="CB137" s="166">
        <v>41.455555555555556</v>
      </c>
      <c r="CC137" s="166">
        <v>31.872222222222224</v>
      </c>
      <c r="CD137" s="166">
        <v>39.799999999999997</v>
      </c>
      <c r="CE137" s="166">
        <v>43.477777777777774</v>
      </c>
      <c r="CF137" s="166">
        <v>22.227777777777778</v>
      </c>
      <c r="CG137" s="166">
        <v>26.655555555555555</v>
      </c>
      <c r="CH137" s="166">
        <v>21.144444444444446</v>
      </c>
      <c r="CI137" s="166">
        <v>14</v>
      </c>
      <c r="CJ137" s="166">
        <v>0</v>
      </c>
      <c r="CK137" s="166">
        <v>0</v>
      </c>
      <c r="CL137" s="166">
        <v>0</v>
      </c>
      <c r="CM137" s="166">
        <v>0</v>
      </c>
      <c r="CN137" s="166">
        <v>205.48888888888891</v>
      </c>
      <c r="CO137" s="166">
        <v>35.144444444444446</v>
      </c>
      <c r="CP137" s="166">
        <v>0</v>
      </c>
      <c r="CQ137" s="166">
        <v>269.51666666666665</v>
      </c>
      <c r="CR137" s="166">
        <v>240.63333333333335</v>
      </c>
      <c r="CS137" s="166">
        <v>269.51666666666665</v>
      </c>
      <c r="CT137" s="166">
        <v>49.688888888888897</v>
      </c>
      <c r="CU137" s="166">
        <v>0.62777777777777799</v>
      </c>
      <c r="CV137" s="166">
        <v>50.316666666666677</v>
      </c>
      <c r="CW137" s="166">
        <v>270.14444444444445</v>
      </c>
      <c r="CX137" s="166">
        <v>0</v>
      </c>
      <c r="CY137" s="166">
        <v>39</v>
      </c>
      <c r="CZ137" s="165">
        <v>0</v>
      </c>
      <c r="DA137" s="165">
        <v>39</v>
      </c>
      <c r="DB137" s="165">
        <v>27</v>
      </c>
      <c r="DC137" s="165">
        <v>40</v>
      </c>
      <c r="DD137" s="165">
        <v>36</v>
      </c>
      <c r="DE137" s="165">
        <v>40</v>
      </c>
      <c r="DF137" s="165">
        <v>32</v>
      </c>
      <c r="DG137" s="165">
        <v>21</v>
      </c>
      <c r="DH137" s="165">
        <v>23</v>
      </c>
      <c r="DI137" s="165">
        <v>21</v>
      </c>
      <c r="DJ137" s="165">
        <v>0</v>
      </c>
      <c r="DK137" s="165">
        <v>0</v>
      </c>
      <c r="DL137" s="165">
        <v>0</v>
      </c>
      <c r="DM137" s="165">
        <v>0</v>
      </c>
      <c r="DN137" s="165">
        <v>196</v>
      </c>
      <c r="DO137" s="165">
        <v>44</v>
      </c>
      <c r="DP137" s="165">
        <v>0</v>
      </c>
      <c r="DQ137" s="165">
        <v>279</v>
      </c>
      <c r="DR137" s="165">
        <v>240</v>
      </c>
      <c r="DS137" s="165">
        <v>279</v>
      </c>
      <c r="DT137" s="165">
        <v>0</v>
      </c>
      <c r="DU137" s="165">
        <v>104</v>
      </c>
      <c r="DV137" s="165">
        <v>44</v>
      </c>
      <c r="DW137" s="165">
        <v>1</v>
      </c>
      <c r="DX137" s="165">
        <v>45</v>
      </c>
      <c r="DY137" s="165">
        <v>280</v>
      </c>
      <c r="DZ137" s="165">
        <v>13</v>
      </c>
      <c r="EA137" s="166">
        <v>19</v>
      </c>
      <c r="EB137" s="166">
        <v>18</v>
      </c>
      <c r="EC137" s="166">
        <v>13.86</v>
      </c>
      <c r="ED137" s="166">
        <v>2.6399999999999997</v>
      </c>
      <c r="EE137" s="166">
        <v>0</v>
      </c>
      <c r="EF137" s="166">
        <v>19</v>
      </c>
      <c r="EG137" s="167">
        <v>0.10250225174510241</v>
      </c>
      <c r="EH137" s="165"/>
      <c r="EI137" s="165">
        <v>39</v>
      </c>
      <c r="EJ137" s="165">
        <v>238</v>
      </c>
      <c r="EK137" s="165">
        <v>194</v>
      </c>
      <c r="EL137" s="165">
        <v>44</v>
      </c>
      <c r="EM137" s="165">
        <v>0</v>
      </c>
      <c r="EN137" s="165">
        <v>277</v>
      </c>
      <c r="EO137" s="165">
        <v>0</v>
      </c>
      <c r="EP137" s="165">
        <v>50</v>
      </c>
      <c r="EQ137" s="165">
        <v>50</v>
      </c>
      <c r="ER137" s="165">
        <v>49</v>
      </c>
      <c r="ES137" s="165">
        <v>1</v>
      </c>
      <c r="ET137" s="165">
        <v>0</v>
      </c>
      <c r="EU137" s="166">
        <v>10.65</v>
      </c>
      <c r="EV137" s="166">
        <v>0</v>
      </c>
      <c r="EW137" s="166">
        <v>4.05</v>
      </c>
      <c r="EX137" s="166">
        <v>1</v>
      </c>
      <c r="EY137" s="166">
        <v>4</v>
      </c>
      <c r="EZ137" s="166">
        <v>19.7</v>
      </c>
      <c r="FA137" s="166">
        <v>0</v>
      </c>
      <c r="FB137" s="166">
        <v>38.222222222222221</v>
      </c>
      <c r="FC137" s="166">
        <v>38.222222222222221</v>
      </c>
      <c r="FD137" s="166">
        <v>29.416666666666668</v>
      </c>
      <c r="FE137" s="166">
        <v>39.227777777777774</v>
      </c>
      <c r="FF137" s="166">
        <v>34.422222222222224</v>
      </c>
      <c r="FG137" s="166">
        <v>40</v>
      </c>
      <c r="FH137" s="166">
        <v>31.06111111111111</v>
      </c>
      <c r="FI137" s="166">
        <v>21.611111111111111</v>
      </c>
      <c r="FJ137" s="166">
        <v>24.138888888888889</v>
      </c>
      <c r="FK137" s="166">
        <v>20.327777777777779</v>
      </c>
      <c r="FL137" s="166">
        <v>0</v>
      </c>
      <c r="FM137" s="166">
        <v>0</v>
      </c>
      <c r="FN137" s="166">
        <v>0</v>
      </c>
      <c r="FO137" s="166">
        <v>0</v>
      </c>
      <c r="FP137" s="166">
        <v>195.73888888888888</v>
      </c>
      <c r="FQ137" s="166">
        <v>44.466666666666669</v>
      </c>
      <c r="FR137" s="166">
        <v>0</v>
      </c>
      <c r="FS137" s="166">
        <v>278.42777777777781</v>
      </c>
      <c r="FT137" s="166">
        <v>240.20555555555555</v>
      </c>
      <c r="FU137" s="166">
        <v>278.42777777777781</v>
      </c>
      <c r="FV137" s="166">
        <v>50.383333333333333</v>
      </c>
      <c r="FW137" s="166">
        <v>1</v>
      </c>
      <c r="FX137" s="166">
        <v>51.383333333333333</v>
      </c>
      <c r="FY137" s="166">
        <v>279.42777777777781</v>
      </c>
      <c r="FZ137" s="165">
        <v>0</v>
      </c>
      <c r="GA137" s="165">
        <v>28</v>
      </c>
      <c r="GB137" s="165">
        <v>28</v>
      </c>
      <c r="GC137" s="165">
        <v>32</v>
      </c>
      <c r="GD137" s="165">
        <v>29</v>
      </c>
      <c r="GE137" s="165">
        <v>38</v>
      </c>
      <c r="GF137" s="165">
        <v>31</v>
      </c>
      <c r="GG137" s="165">
        <v>32</v>
      </c>
      <c r="GH137" s="165">
        <v>30</v>
      </c>
      <c r="GI137" s="165">
        <v>23</v>
      </c>
      <c r="GJ137" s="165">
        <v>27</v>
      </c>
      <c r="GK137" s="165">
        <v>0</v>
      </c>
      <c r="GL137" s="165">
        <v>0</v>
      </c>
      <c r="GM137" s="165">
        <v>0</v>
      </c>
      <c r="GN137" s="165">
        <v>0</v>
      </c>
      <c r="GO137" s="165">
        <v>192</v>
      </c>
      <c r="GP137" s="165">
        <v>50</v>
      </c>
      <c r="GQ137" s="165">
        <v>0</v>
      </c>
      <c r="GR137" s="165">
        <v>270</v>
      </c>
      <c r="GS137" s="165">
        <v>242</v>
      </c>
      <c r="GT137" s="165">
        <v>270</v>
      </c>
      <c r="GU137" s="165">
        <v>0</v>
      </c>
      <c r="GV137" s="165">
        <v>85</v>
      </c>
      <c r="GW137" s="165">
        <v>49</v>
      </c>
      <c r="GX137" s="165">
        <v>1</v>
      </c>
      <c r="GY137" s="165">
        <v>50</v>
      </c>
      <c r="GZ137" s="165">
        <v>271</v>
      </c>
      <c r="HA137" s="165">
        <v>16</v>
      </c>
      <c r="HB137" s="166">
        <v>19</v>
      </c>
      <c r="HC137" s="166">
        <v>18</v>
      </c>
      <c r="HD137" s="166">
        <v>13.25</v>
      </c>
      <c r="HE137" s="166">
        <v>2.75</v>
      </c>
      <c r="HF137" s="166"/>
      <c r="HG137" s="166">
        <v>19</v>
      </c>
      <c r="HH137" s="166">
        <v>0</v>
      </c>
      <c r="HI137" s="166">
        <v>51</v>
      </c>
      <c r="HJ137" s="166">
        <v>51</v>
      </c>
      <c r="HK137" s="166">
        <v>49</v>
      </c>
      <c r="HL137" s="166">
        <v>2</v>
      </c>
      <c r="HM137" s="166">
        <v>0</v>
      </c>
      <c r="HN137" s="166">
        <v>32</v>
      </c>
      <c r="HO137" s="166">
        <v>264</v>
      </c>
      <c r="HP137" s="166">
        <v>198</v>
      </c>
      <c r="HQ137" s="166">
        <v>66</v>
      </c>
      <c r="HR137" s="166">
        <v>0</v>
      </c>
      <c r="HS137" s="166">
        <v>296</v>
      </c>
      <c r="HT137" s="166">
        <f>FY26_FE_Data_April15[[#This Row],[Oct 1, 2026 (CDC) - K]]+FY26_FE_Data_April15[[#This Row],[Oct 1, 2026 (CDC) - Grades 1-6]]+FY26_FE_Data_April15[[#This Row],[Oct 1, 2026 (CDC) - Grades 7-8]]</f>
        <v>296</v>
      </c>
      <c r="HU137" s="166">
        <v>0</v>
      </c>
      <c r="HW137" s="170"/>
      <c r="HY137" s="170"/>
    </row>
    <row r="138" spans="1:233" ht="39">
      <c r="A138" s="158" t="s">
        <v>626</v>
      </c>
      <c r="B138" s="159" t="s">
        <v>627</v>
      </c>
      <c r="C138" s="160" t="s">
        <v>628</v>
      </c>
      <c r="D138" s="160" t="s">
        <v>139</v>
      </c>
      <c r="E138" s="159" t="s">
        <v>784</v>
      </c>
      <c r="F138" s="159" t="s">
        <v>784</v>
      </c>
      <c r="G138" s="159"/>
      <c r="H138" s="161">
        <v>85.37222222222222</v>
      </c>
      <c r="I138" s="161">
        <v>5.7777777777777777</v>
      </c>
      <c r="J138" s="161">
        <v>91.149999999999991</v>
      </c>
      <c r="K138" s="162">
        <v>0</v>
      </c>
      <c r="L138" s="162">
        <v>0</v>
      </c>
      <c r="M138" s="162">
        <v>131</v>
      </c>
      <c r="N138" s="162">
        <v>333</v>
      </c>
      <c r="O138" s="162">
        <v>464</v>
      </c>
      <c r="P138" s="162">
        <v>464</v>
      </c>
      <c r="Q138" s="162">
        <v>131</v>
      </c>
      <c r="R138" s="162">
        <v>11</v>
      </c>
      <c r="S138" s="160">
        <v>0</v>
      </c>
      <c r="T138" s="160">
        <v>0</v>
      </c>
      <c r="U138" s="160">
        <v>0</v>
      </c>
      <c r="V138" s="160">
        <v>0</v>
      </c>
      <c r="W138" s="160">
        <v>0</v>
      </c>
      <c r="X138" s="160">
        <v>0</v>
      </c>
      <c r="Y138" s="160">
        <v>0</v>
      </c>
      <c r="Z138" s="160">
        <v>64.188888888888883</v>
      </c>
      <c r="AA138" s="160">
        <v>59.833333333333336</v>
      </c>
      <c r="AB138" s="160">
        <v>92.15</v>
      </c>
      <c r="AC138" s="160">
        <v>94.261111111111106</v>
      </c>
      <c r="AD138" s="160">
        <v>78.927777777777777</v>
      </c>
      <c r="AE138" s="160">
        <v>47.461111111111109</v>
      </c>
      <c r="AF138" s="160">
        <v>0</v>
      </c>
      <c r="AG138" s="160">
        <v>124.02222222222221</v>
      </c>
      <c r="AH138" s="160">
        <v>312.79999999999995</v>
      </c>
      <c r="AI138" s="160">
        <v>124.02222222222221</v>
      </c>
      <c r="AJ138" s="160">
        <v>436.82222222222219</v>
      </c>
      <c r="AK138" s="160">
        <v>436.82222222222219</v>
      </c>
      <c r="AL138" s="161">
        <v>98.3</v>
      </c>
      <c r="AM138" s="161">
        <v>9.4166666666666661</v>
      </c>
      <c r="AN138" s="161">
        <v>107.71666666666667</v>
      </c>
      <c r="AO138" s="161">
        <v>446.23888888888888</v>
      </c>
      <c r="AP138" s="162">
        <v>0</v>
      </c>
      <c r="AQ138" s="168">
        <v>0</v>
      </c>
      <c r="AR138" s="160">
        <v>0</v>
      </c>
      <c r="AS138" s="160">
        <v>0</v>
      </c>
      <c r="AT138" s="160">
        <v>0</v>
      </c>
      <c r="AU138" s="160">
        <v>0</v>
      </c>
      <c r="AV138" s="160">
        <v>0</v>
      </c>
      <c r="AW138" s="160">
        <v>70</v>
      </c>
      <c r="AX138" s="160">
        <v>76</v>
      </c>
      <c r="AY138" s="160">
        <v>90</v>
      </c>
      <c r="AZ138" s="160">
        <v>88</v>
      </c>
      <c r="BA138" s="160">
        <v>96</v>
      </c>
      <c r="BB138" s="160">
        <v>75</v>
      </c>
      <c r="BC138" s="160">
        <v>0</v>
      </c>
      <c r="BD138" s="160">
        <v>146</v>
      </c>
      <c r="BE138" s="160">
        <v>349</v>
      </c>
      <c r="BF138" s="160">
        <v>146</v>
      </c>
      <c r="BG138" s="160">
        <v>495</v>
      </c>
      <c r="BH138" s="160">
        <v>495</v>
      </c>
      <c r="BI138" s="160">
        <v>0</v>
      </c>
      <c r="BJ138" s="160">
        <v>0</v>
      </c>
      <c r="BK138" s="160">
        <v>3</v>
      </c>
      <c r="BL138" s="160">
        <v>197</v>
      </c>
      <c r="BM138" s="160">
        <v>92</v>
      </c>
      <c r="BN138" s="162">
        <v>13</v>
      </c>
      <c r="BO138" s="162">
        <v>105</v>
      </c>
      <c r="BP138" s="162">
        <v>52</v>
      </c>
      <c r="BQ138" s="163">
        <v>6.4912371134020652E-2</v>
      </c>
      <c r="BR138" s="164">
        <v>32.271000000000001</v>
      </c>
      <c r="BS138" s="164">
        <v>31.271000000000001</v>
      </c>
      <c r="BT138" s="164">
        <v>31.271000000000001</v>
      </c>
      <c r="BU138" s="164">
        <v>33.271000000000001</v>
      </c>
      <c r="BV138" s="165">
        <v>0</v>
      </c>
      <c r="BW138" s="165">
        <v>0</v>
      </c>
      <c r="BX138" s="166">
        <v>0</v>
      </c>
      <c r="BY138" s="166">
        <v>0</v>
      </c>
      <c r="BZ138" s="166">
        <v>0</v>
      </c>
      <c r="CA138" s="166">
        <v>0</v>
      </c>
      <c r="CB138" s="166">
        <v>0</v>
      </c>
      <c r="CC138" s="166">
        <v>0</v>
      </c>
      <c r="CD138" s="166">
        <v>0</v>
      </c>
      <c r="CE138" s="166">
        <v>0</v>
      </c>
      <c r="CF138" s="166">
        <v>0</v>
      </c>
      <c r="CG138" s="166">
        <v>0</v>
      </c>
      <c r="CH138" s="166">
        <v>65.827777777777783</v>
      </c>
      <c r="CI138" s="166">
        <v>70.25555555555556</v>
      </c>
      <c r="CJ138" s="166">
        <v>78.25</v>
      </c>
      <c r="CK138" s="166">
        <v>77.577777777777783</v>
      </c>
      <c r="CL138" s="166">
        <v>87.35</v>
      </c>
      <c r="CM138" s="166">
        <v>63.844444444444441</v>
      </c>
      <c r="CN138" s="166">
        <v>0</v>
      </c>
      <c r="CO138" s="166">
        <v>136.08333333333334</v>
      </c>
      <c r="CP138" s="166">
        <v>307.02222222222224</v>
      </c>
      <c r="CQ138" s="166">
        <v>136.08333333333334</v>
      </c>
      <c r="CR138" s="166">
        <v>443.10555555555561</v>
      </c>
      <c r="CS138" s="166">
        <v>443.10555555555561</v>
      </c>
      <c r="CT138" s="166">
        <v>88.45</v>
      </c>
      <c r="CU138" s="166">
        <v>10.1944444444444</v>
      </c>
      <c r="CV138" s="166">
        <v>98.644444444444403</v>
      </c>
      <c r="CW138" s="166">
        <v>453.3</v>
      </c>
      <c r="CX138" s="166">
        <v>0</v>
      </c>
      <c r="CY138" s="166">
        <v>0</v>
      </c>
      <c r="CZ138" s="165">
        <v>0</v>
      </c>
      <c r="DA138" s="165">
        <v>0</v>
      </c>
      <c r="DB138" s="165">
        <v>0</v>
      </c>
      <c r="DC138" s="165">
        <v>0</v>
      </c>
      <c r="DD138" s="165">
        <v>0</v>
      </c>
      <c r="DE138" s="165">
        <v>0</v>
      </c>
      <c r="DF138" s="165">
        <v>0</v>
      </c>
      <c r="DG138" s="165">
        <v>0</v>
      </c>
      <c r="DH138" s="165">
        <v>56</v>
      </c>
      <c r="DI138" s="165">
        <v>74</v>
      </c>
      <c r="DJ138" s="165">
        <v>90</v>
      </c>
      <c r="DK138" s="165">
        <v>68</v>
      </c>
      <c r="DL138" s="165">
        <v>77</v>
      </c>
      <c r="DM138" s="165">
        <v>88</v>
      </c>
      <c r="DN138" s="165">
        <v>0</v>
      </c>
      <c r="DO138" s="165">
        <v>130</v>
      </c>
      <c r="DP138" s="165">
        <v>323</v>
      </c>
      <c r="DQ138" s="165">
        <v>130</v>
      </c>
      <c r="DR138" s="165">
        <v>453</v>
      </c>
      <c r="DS138" s="165">
        <v>453</v>
      </c>
      <c r="DT138" s="165">
        <v>5</v>
      </c>
      <c r="DU138" s="165">
        <v>154</v>
      </c>
      <c r="DV138" s="165">
        <v>90</v>
      </c>
      <c r="DW138" s="165">
        <v>9</v>
      </c>
      <c r="DX138" s="165">
        <v>99</v>
      </c>
      <c r="DY138" s="165">
        <v>462</v>
      </c>
      <c r="DZ138" s="165">
        <v>23</v>
      </c>
      <c r="EA138" s="166">
        <v>36.069000000000003</v>
      </c>
      <c r="EB138" s="166">
        <v>35.069000000000003</v>
      </c>
      <c r="EC138" s="166">
        <v>0</v>
      </c>
      <c r="ED138" s="166">
        <v>31.117000000000001</v>
      </c>
      <c r="EE138" s="166">
        <v>0</v>
      </c>
      <c r="EF138" s="166">
        <v>37.548999999999999</v>
      </c>
      <c r="EG138" s="167">
        <v>6.1644789180588744E-2</v>
      </c>
      <c r="EH138" s="165"/>
      <c r="EI138" s="165">
        <v>0</v>
      </c>
      <c r="EJ138" s="165">
        <v>452</v>
      </c>
      <c r="EK138" s="165">
        <v>0</v>
      </c>
      <c r="EL138" s="165">
        <v>121</v>
      </c>
      <c r="EM138" s="165">
        <v>331</v>
      </c>
      <c r="EN138" s="165">
        <v>452</v>
      </c>
      <c r="EO138" s="165">
        <v>0</v>
      </c>
      <c r="EP138" s="165">
        <v>97</v>
      </c>
      <c r="EQ138" s="165">
        <v>97</v>
      </c>
      <c r="ER138" s="165">
        <v>89</v>
      </c>
      <c r="ES138" s="165">
        <v>8</v>
      </c>
      <c r="ET138" s="165">
        <v>5</v>
      </c>
      <c r="EU138" s="166">
        <v>9.25</v>
      </c>
      <c r="EV138" s="166">
        <v>0</v>
      </c>
      <c r="EW138" s="166">
        <v>5.5</v>
      </c>
      <c r="EX138" s="166">
        <v>0</v>
      </c>
      <c r="EY138" s="166">
        <v>8.4499999999999993</v>
      </c>
      <c r="EZ138" s="166">
        <v>23.2</v>
      </c>
      <c r="FA138" s="166">
        <v>0</v>
      </c>
      <c r="FB138" s="166">
        <v>0</v>
      </c>
      <c r="FC138" s="166">
        <v>0</v>
      </c>
      <c r="FD138" s="166">
        <v>0</v>
      </c>
      <c r="FE138" s="166">
        <v>0</v>
      </c>
      <c r="FF138" s="166">
        <v>0</v>
      </c>
      <c r="FG138" s="166">
        <v>0</v>
      </c>
      <c r="FH138" s="166">
        <v>0</v>
      </c>
      <c r="FI138" s="166">
        <v>0</v>
      </c>
      <c r="FJ138" s="166">
        <v>51.93888888888889</v>
      </c>
      <c r="FK138" s="166">
        <v>73.038888888888891</v>
      </c>
      <c r="FL138" s="166">
        <v>86.394444444444446</v>
      </c>
      <c r="FM138" s="166">
        <v>64.177777777777777</v>
      </c>
      <c r="FN138" s="166">
        <v>70.444444444444443</v>
      </c>
      <c r="FO138" s="166">
        <v>72.38333333333334</v>
      </c>
      <c r="FP138" s="166">
        <v>0</v>
      </c>
      <c r="FQ138" s="166">
        <v>124.97777777777779</v>
      </c>
      <c r="FR138" s="166">
        <v>293.39999999999998</v>
      </c>
      <c r="FS138" s="166">
        <v>124.97777777777779</v>
      </c>
      <c r="FT138" s="166">
        <v>418.37777777777779</v>
      </c>
      <c r="FU138" s="166">
        <v>418.37777777777779</v>
      </c>
      <c r="FV138" s="166">
        <v>86.983333333333334</v>
      </c>
      <c r="FW138" s="166">
        <v>8.2055555555555557</v>
      </c>
      <c r="FX138" s="166">
        <v>95.188888888888897</v>
      </c>
      <c r="FY138" s="166">
        <v>426.58333333333337</v>
      </c>
      <c r="FZ138" s="165">
        <v>0</v>
      </c>
      <c r="GA138" s="165">
        <v>0</v>
      </c>
      <c r="GB138" s="165">
        <v>0</v>
      </c>
      <c r="GC138" s="165">
        <v>0</v>
      </c>
      <c r="GD138" s="165">
        <v>0</v>
      </c>
      <c r="GE138" s="165">
        <v>0</v>
      </c>
      <c r="GF138" s="165">
        <v>0</v>
      </c>
      <c r="GG138" s="165">
        <v>0</v>
      </c>
      <c r="GH138" s="165">
        <v>0</v>
      </c>
      <c r="GI138" s="165">
        <v>62</v>
      </c>
      <c r="GJ138" s="165">
        <v>50</v>
      </c>
      <c r="GK138" s="165">
        <v>83</v>
      </c>
      <c r="GL138" s="165">
        <v>74</v>
      </c>
      <c r="GM138" s="165">
        <v>66</v>
      </c>
      <c r="GN138" s="165">
        <v>68</v>
      </c>
      <c r="GO138" s="165">
        <v>0</v>
      </c>
      <c r="GP138" s="165">
        <v>112</v>
      </c>
      <c r="GQ138" s="165">
        <v>291</v>
      </c>
      <c r="GR138" s="165">
        <v>112</v>
      </c>
      <c r="GS138" s="165">
        <v>403</v>
      </c>
      <c r="GT138" s="165">
        <v>403</v>
      </c>
      <c r="GU138" s="165">
        <v>10</v>
      </c>
      <c r="GV138" s="165">
        <v>132</v>
      </c>
      <c r="GW138" s="165">
        <v>75</v>
      </c>
      <c r="GX138" s="165">
        <v>9</v>
      </c>
      <c r="GY138" s="165">
        <v>84</v>
      </c>
      <c r="GZ138" s="165">
        <v>412</v>
      </c>
      <c r="HA138" s="165">
        <v>4</v>
      </c>
      <c r="HB138" s="166">
        <v>32.548999999999999</v>
      </c>
      <c r="HC138" s="166">
        <v>31.548999999999999</v>
      </c>
      <c r="HD138" s="166">
        <v>0</v>
      </c>
      <c r="HE138" s="166">
        <v>24.619</v>
      </c>
      <c r="HF138" s="166"/>
      <c r="HG138" s="166">
        <v>30.048999999999999</v>
      </c>
      <c r="HH138" s="166">
        <v>0</v>
      </c>
      <c r="HI138" s="166">
        <v>88</v>
      </c>
      <c r="HJ138" s="166">
        <v>88</v>
      </c>
      <c r="HK138" s="166">
        <v>81</v>
      </c>
      <c r="HL138" s="166">
        <v>7</v>
      </c>
      <c r="HM138" s="166">
        <v>4</v>
      </c>
      <c r="HN138" s="166">
        <v>0</v>
      </c>
      <c r="HO138" s="166">
        <v>428</v>
      </c>
      <c r="HP138" s="166">
        <v>0</v>
      </c>
      <c r="HQ138" s="166">
        <v>125</v>
      </c>
      <c r="HR138" s="166">
        <v>303</v>
      </c>
      <c r="HS138" s="166">
        <v>428</v>
      </c>
      <c r="HT138" s="166">
        <f>FY26_FE_Data_April15[[#This Row],[Oct 1, 2026 (CDC) - K]]+FY26_FE_Data_April15[[#This Row],[Oct 1, 2026 (CDC) - Grades 1-6]]+FY26_FE_Data_April15[[#This Row],[Oct 1, 2026 (CDC) - Grades 7-8]]</f>
        <v>125</v>
      </c>
      <c r="HU138" s="166">
        <v>0</v>
      </c>
      <c r="HW138" s="170"/>
      <c r="HY138" s="170"/>
    </row>
    <row r="139" spans="1:233" ht="26">
      <c r="A139" s="158" t="s">
        <v>629</v>
      </c>
      <c r="B139" s="159" t="s">
        <v>630</v>
      </c>
      <c r="C139" s="160" t="s">
        <v>631</v>
      </c>
      <c r="D139" s="160" t="s">
        <v>139</v>
      </c>
      <c r="E139" s="159" t="s">
        <v>784</v>
      </c>
      <c r="F139" s="159" t="s">
        <v>784</v>
      </c>
      <c r="G139" s="159"/>
      <c r="H139" s="161">
        <v>171.05555555555554</v>
      </c>
      <c r="I139" s="161">
        <v>1.8388888888888888</v>
      </c>
      <c r="J139" s="161">
        <v>172.89444444444445</v>
      </c>
      <c r="K139" s="162">
        <v>160</v>
      </c>
      <c r="L139" s="162">
        <v>923</v>
      </c>
      <c r="M139" s="162">
        <v>186</v>
      </c>
      <c r="N139" s="162">
        <v>77</v>
      </c>
      <c r="O139" s="162">
        <v>1346</v>
      </c>
      <c r="P139" s="162">
        <v>1186</v>
      </c>
      <c r="Q139" s="162">
        <v>1269</v>
      </c>
      <c r="R139" s="162">
        <v>3</v>
      </c>
      <c r="S139" s="160">
        <v>156.60555555555555</v>
      </c>
      <c r="T139" s="160">
        <v>189.49444444444444</v>
      </c>
      <c r="U139" s="160">
        <v>155</v>
      </c>
      <c r="V139" s="160">
        <v>155.44444444444446</v>
      </c>
      <c r="W139" s="160">
        <v>153.86111111111111</v>
      </c>
      <c r="X139" s="160">
        <v>122.16666666666667</v>
      </c>
      <c r="Y139" s="160">
        <v>133</v>
      </c>
      <c r="Z139" s="160">
        <v>101.29444444444445</v>
      </c>
      <c r="AA139" s="160">
        <v>80.461111111111109</v>
      </c>
      <c r="AB139" s="160">
        <v>74.083333333333329</v>
      </c>
      <c r="AC139" s="160">
        <v>0</v>
      </c>
      <c r="AD139" s="160">
        <v>0</v>
      </c>
      <c r="AE139" s="160">
        <v>0</v>
      </c>
      <c r="AF139" s="160">
        <v>908.96666666666658</v>
      </c>
      <c r="AG139" s="160">
        <v>181.75555555555556</v>
      </c>
      <c r="AH139" s="160">
        <v>74.083333333333329</v>
      </c>
      <c r="AI139" s="160">
        <v>1247.3277777777776</v>
      </c>
      <c r="AJ139" s="160">
        <v>1164.8055555555554</v>
      </c>
      <c r="AK139" s="160">
        <v>1321.4111111111108</v>
      </c>
      <c r="AL139" s="161">
        <v>136.42222222222222</v>
      </c>
      <c r="AM139" s="161">
        <v>5.6333333333333337</v>
      </c>
      <c r="AN139" s="161">
        <v>142.05555555555554</v>
      </c>
      <c r="AO139" s="161">
        <v>1327.0444444444443</v>
      </c>
      <c r="AP139" s="162">
        <v>202</v>
      </c>
      <c r="AQ139" s="168">
        <v>156</v>
      </c>
      <c r="AR139" s="160">
        <v>179</v>
      </c>
      <c r="AS139" s="160">
        <v>147</v>
      </c>
      <c r="AT139" s="160">
        <v>160</v>
      </c>
      <c r="AU139" s="160">
        <v>153</v>
      </c>
      <c r="AV139" s="160">
        <v>122</v>
      </c>
      <c r="AW139" s="160">
        <v>104</v>
      </c>
      <c r="AX139" s="160">
        <v>100</v>
      </c>
      <c r="AY139" s="160">
        <v>79</v>
      </c>
      <c r="AZ139" s="160">
        <v>0</v>
      </c>
      <c r="BA139" s="160">
        <v>0</v>
      </c>
      <c r="BB139" s="160">
        <v>0</v>
      </c>
      <c r="BC139" s="160">
        <v>917</v>
      </c>
      <c r="BD139" s="160">
        <v>204</v>
      </c>
      <c r="BE139" s="160">
        <v>79</v>
      </c>
      <c r="BF139" s="160">
        <v>1323</v>
      </c>
      <c r="BG139" s="160">
        <v>1200</v>
      </c>
      <c r="BH139" s="160">
        <v>1402</v>
      </c>
      <c r="BI139" s="160">
        <v>202</v>
      </c>
      <c r="BJ139" s="160">
        <v>0</v>
      </c>
      <c r="BK139" s="160">
        <v>0</v>
      </c>
      <c r="BL139" s="160">
        <v>401</v>
      </c>
      <c r="BM139" s="160">
        <v>191</v>
      </c>
      <c r="BN139" s="162">
        <v>10</v>
      </c>
      <c r="BO139" s="162">
        <v>201</v>
      </c>
      <c r="BP139" s="162">
        <v>128</v>
      </c>
      <c r="BQ139" s="163">
        <v>7.1274516026658241E-2</v>
      </c>
      <c r="BR139" s="164">
        <v>87.85</v>
      </c>
      <c r="BS139" s="164">
        <v>84.35</v>
      </c>
      <c r="BT139" s="164">
        <v>84.35</v>
      </c>
      <c r="BU139" s="164">
        <v>87.84999999999998</v>
      </c>
      <c r="BV139" s="165">
        <v>0</v>
      </c>
      <c r="BW139" s="165">
        <v>0</v>
      </c>
      <c r="BX139" s="166">
        <v>0</v>
      </c>
      <c r="BY139" s="166">
        <v>0</v>
      </c>
      <c r="BZ139" s="166">
        <v>200.59444400000001</v>
      </c>
      <c r="CA139" s="166">
        <v>200.59444444444443</v>
      </c>
      <c r="CB139" s="166">
        <v>152.44444444444446</v>
      </c>
      <c r="CC139" s="166">
        <v>178.03888888888889</v>
      </c>
      <c r="CD139" s="166">
        <v>143.73333333333332</v>
      </c>
      <c r="CE139" s="166">
        <v>156.55555555555554</v>
      </c>
      <c r="CF139" s="166">
        <v>151.0611111111111</v>
      </c>
      <c r="CG139" s="166">
        <v>118.62222222222222</v>
      </c>
      <c r="CH139" s="166">
        <v>101.39444444444445</v>
      </c>
      <c r="CI139" s="166">
        <v>97.87222222222222</v>
      </c>
      <c r="CJ139" s="166">
        <v>73.561111111111117</v>
      </c>
      <c r="CK139" s="166">
        <v>0</v>
      </c>
      <c r="CL139" s="166">
        <v>0</v>
      </c>
      <c r="CM139" s="166">
        <v>0</v>
      </c>
      <c r="CN139" s="166">
        <v>900.45555555555563</v>
      </c>
      <c r="CO139" s="166">
        <v>199.26666666666665</v>
      </c>
      <c r="CP139" s="166">
        <v>73.561111111111117</v>
      </c>
      <c r="CQ139" s="166">
        <v>1300.3166666666666</v>
      </c>
      <c r="CR139" s="166">
        <v>1173.2833333333335</v>
      </c>
      <c r="CS139" s="166">
        <v>1373.8777777777777</v>
      </c>
      <c r="CT139" s="166">
        <v>201.31111111111099</v>
      </c>
      <c r="CU139" s="166">
        <v>8.2888888888888896</v>
      </c>
      <c r="CV139" s="166">
        <v>209.59999999999988</v>
      </c>
      <c r="CW139" s="166">
        <v>1382.1666666666665</v>
      </c>
      <c r="CX139" s="166">
        <v>0</v>
      </c>
      <c r="CY139" s="166">
        <v>159</v>
      </c>
      <c r="CZ139" s="165">
        <v>0</v>
      </c>
      <c r="DA139" s="165">
        <v>159</v>
      </c>
      <c r="DB139" s="165">
        <v>186</v>
      </c>
      <c r="DC139" s="165">
        <v>152</v>
      </c>
      <c r="DD139" s="165">
        <v>181</v>
      </c>
      <c r="DE139" s="165">
        <v>136</v>
      </c>
      <c r="DF139" s="165">
        <v>158</v>
      </c>
      <c r="DG139" s="165">
        <v>150</v>
      </c>
      <c r="DH139" s="165">
        <v>94</v>
      </c>
      <c r="DI139" s="165">
        <v>90</v>
      </c>
      <c r="DJ139" s="165">
        <v>58</v>
      </c>
      <c r="DK139" s="165">
        <v>0</v>
      </c>
      <c r="DL139" s="165">
        <v>0</v>
      </c>
      <c r="DM139" s="165">
        <v>0</v>
      </c>
      <c r="DN139" s="165">
        <v>963</v>
      </c>
      <c r="DO139" s="165">
        <v>184</v>
      </c>
      <c r="DP139" s="165">
        <v>58</v>
      </c>
      <c r="DQ139" s="165">
        <v>1306</v>
      </c>
      <c r="DR139" s="165">
        <v>1205</v>
      </c>
      <c r="DS139" s="165">
        <v>1364</v>
      </c>
      <c r="DT139" s="165">
        <v>0</v>
      </c>
      <c r="DU139" s="165">
        <v>359</v>
      </c>
      <c r="DV139" s="165">
        <v>197</v>
      </c>
      <c r="DW139" s="165">
        <v>11</v>
      </c>
      <c r="DX139" s="165">
        <v>208</v>
      </c>
      <c r="DY139" s="165">
        <v>1375</v>
      </c>
      <c r="DZ139" s="165">
        <v>109</v>
      </c>
      <c r="EA139" s="166">
        <v>91.73</v>
      </c>
      <c r="EB139" s="166">
        <v>88.23</v>
      </c>
      <c r="EC139" s="166">
        <v>54</v>
      </c>
      <c r="ED139" s="166">
        <v>20.85</v>
      </c>
      <c r="EE139" s="166">
        <v>0</v>
      </c>
      <c r="EF139" s="166">
        <v>93.73</v>
      </c>
      <c r="EG139" s="167">
        <v>6.7305203632211208E-2</v>
      </c>
      <c r="EH139" s="165"/>
      <c r="EI139" s="165">
        <v>151</v>
      </c>
      <c r="EJ139" s="165">
        <v>1208</v>
      </c>
      <c r="EK139" s="165">
        <v>954</v>
      </c>
      <c r="EL139" s="165">
        <v>175</v>
      </c>
      <c r="EM139" s="165">
        <v>79</v>
      </c>
      <c r="EN139" s="165">
        <v>1359</v>
      </c>
      <c r="EO139" s="165">
        <v>0</v>
      </c>
      <c r="EP139" s="165">
        <v>205</v>
      </c>
      <c r="EQ139" s="165">
        <v>205</v>
      </c>
      <c r="ER139" s="165">
        <v>191</v>
      </c>
      <c r="ES139" s="165">
        <v>14</v>
      </c>
      <c r="ET139" s="165">
        <v>4</v>
      </c>
      <c r="EU139" s="166">
        <v>41.637999999999998</v>
      </c>
      <c r="EV139" s="166">
        <v>1.675</v>
      </c>
      <c r="EW139" s="166">
        <v>3.113</v>
      </c>
      <c r="EX139" s="166">
        <v>0.875</v>
      </c>
      <c r="EY139" s="166">
        <v>13.85</v>
      </c>
      <c r="EZ139" s="166">
        <v>61.150999999999996</v>
      </c>
      <c r="FA139" s="166">
        <v>0</v>
      </c>
      <c r="FB139" s="166">
        <v>159.8111111111111</v>
      </c>
      <c r="FC139" s="166">
        <v>159.8111111111111</v>
      </c>
      <c r="FD139" s="166">
        <v>185.34444444444443</v>
      </c>
      <c r="FE139" s="166">
        <v>147.4388888888889</v>
      </c>
      <c r="FF139" s="166">
        <v>177.28333333333333</v>
      </c>
      <c r="FG139" s="166">
        <v>135.63333333333333</v>
      </c>
      <c r="FH139" s="166">
        <v>152.98333333333332</v>
      </c>
      <c r="FI139" s="166">
        <v>147.62222222222223</v>
      </c>
      <c r="FJ139" s="166">
        <v>89.477777777777774</v>
      </c>
      <c r="FK139" s="166">
        <v>87.183333333333337</v>
      </c>
      <c r="FL139" s="166">
        <v>55.988888888888887</v>
      </c>
      <c r="FM139" s="166">
        <v>0</v>
      </c>
      <c r="FN139" s="166">
        <v>0</v>
      </c>
      <c r="FO139" s="166">
        <v>0</v>
      </c>
      <c r="FP139" s="166">
        <v>946.30555555555554</v>
      </c>
      <c r="FQ139" s="166">
        <v>176.6611111111111</v>
      </c>
      <c r="FR139" s="166">
        <v>55.988888888888887</v>
      </c>
      <c r="FS139" s="166">
        <v>1282.7777777777778</v>
      </c>
      <c r="FT139" s="166">
        <v>1178.9555555555555</v>
      </c>
      <c r="FU139" s="166">
        <v>1338.7666666666667</v>
      </c>
      <c r="FV139" s="166">
        <v>182.42222222222222</v>
      </c>
      <c r="FW139" s="166">
        <v>12.266666666666667</v>
      </c>
      <c r="FX139" s="166">
        <v>194.6888888888889</v>
      </c>
      <c r="FY139" s="166">
        <v>1351.0333333333333</v>
      </c>
      <c r="FZ139" s="165">
        <v>0</v>
      </c>
      <c r="GA139" s="165">
        <v>155</v>
      </c>
      <c r="GB139" s="165">
        <v>155</v>
      </c>
      <c r="GC139" s="165">
        <v>152</v>
      </c>
      <c r="GD139" s="165">
        <v>180</v>
      </c>
      <c r="GE139" s="165">
        <v>149</v>
      </c>
      <c r="GF139" s="165">
        <v>169</v>
      </c>
      <c r="GG139" s="165">
        <v>134</v>
      </c>
      <c r="GH139" s="165">
        <v>145</v>
      </c>
      <c r="GI139" s="165">
        <v>100</v>
      </c>
      <c r="GJ139" s="165">
        <v>88</v>
      </c>
      <c r="GK139" s="165">
        <v>65</v>
      </c>
      <c r="GL139" s="165">
        <v>0</v>
      </c>
      <c r="GM139" s="165">
        <v>0</v>
      </c>
      <c r="GN139" s="165">
        <v>0</v>
      </c>
      <c r="GO139" s="165">
        <v>929</v>
      </c>
      <c r="GP139" s="165">
        <v>188</v>
      </c>
      <c r="GQ139" s="165">
        <v>65</v>
      </c>
      <c r="GR139" s="165">
        <v>1272</v>
      </c>
      <c r="GS139" s="165">
        <v>1182</v>
      </c>
      <c r="GT139" s="165">
        <v>1337</v>
      </c>
      <c r="GU139" s="165">
        <v>0</v>
      </c>
      <c r="GV139" s="165">
        <v>384</v>
      </c>
      <c r="GW139" s="165">
        <v>210</v>
      </c>
      <c r="GX139" s="165">
        <v>12</v>
      </c>
      <c r="GY139" s="165">
        <v>222</v>
      </c>
      <c r="GZ139" s="165">
        <v>1349</v>
      </c>
      <c r="HA139" s="165">
        <v>141</v>
      </c>
      <c r="HB139" s="166">
        <v>95.539999999999992</v>
      </c>
      <c r="HC139" s="166">
        <v>90.539999999999992</v>
      </c>
      <c r="HD139" s="166">
        <v>54.03</v>
      </c>
      <c r="HE139" s="166">
        <v>20.87</v>
      </c>
      <c r="HF139" s="166"/>
      <c r="HG139" s="166">
        <v>96.54</v>
      </c>
      <c r="HH139" s="166">
        <v>0</v>
      </c>
      <c r="HI139" s="166">
        <v>218</v>
      </c>
      <c r="HJ139" s="166">
        <v>218</v>
      </c>
      <c r="HK139" s="166">
        <v>206</v>
      </c>
      <c r="HL139" s="166">
        <v>12</v>
      </c>
      <c r="HM139" s="166">
        <v>6</v>
      </c>
      <c r="HN139" s="166">
        <v>168</v>
      </c>
      <c r="HO139" s="166">
        <v>1271</v>
      </c>
      <c r="HP139" s="166">
        <v>1008</v>
      </c>
      <c r="HQ139" s="166">
        <v>173</v>
      </c>
      <c r="HR139" s="166">
        <v>90</v>
      </c>
      <c r="HS139" s="166">
        <v>1439</v>
      </c>
      <c r="HT139" s="166">
        <f>FY26_FE_Data_April15[[#This Row],[Oct 1, 2026 (CDC) - K]]+FY26_FE_Data_April15[[#This Row],[Oct 1, 2026 (CDC) - Grades 1-6]]+FY26_FE_Data_April15[[#This Row],[Oct 1, 2026 (CDC) - Grades 7-8]]</f>
        <v>1349</v>
      </c>
      <c r="HU139" s="166">
        <v>0</v>
      </c>
      <c r="HW139" s="170"/>
      <c r="HY139" s="170"/>
    </row>
    <row r="140" spans="1:233" ht="65">
      <c r="A140" s="158" t="s">
        <v>632</v>
      </c>
      <c r="B140" s="159" t="s">
        <v>633</v>
      </c>
      <c r="C140" s="160" t="s">
        <v>634</v>
      </c>
      <c r="D140" s="160" t="s">
        <v>139</v>
      </c>
      <c r="E140" s="159" t="s">
        <v>784</v>
      </c>
      <c r="F140" s="159" t="s">
        <v>784</v>
      </c>
      <c r="G140" s="159"/>
      <c r="H140" s="161">
        <v>58.577777777777776</v>
      </c>
      <c r="I140" s="161">
        <v>4.7388888888888889</v>
      </c>
      <c r="J140" s="161">
        <v>63.316666666666663</v>
      </c>
      <c r="K140" s="162">
        <v>66</v>
      </c>
      <c r="L140" s="162">
        <v>365</v>
      </c>
      <c r="M140" s="162">
        <v>0</v>
      </c>
      <c r="N140" s="162">
        <v>0</v>
      </c>
      <c r="O140" s="162">
        <v>431</v>
      </c>
      <c r="P140" s="162">
        <v>365</v>
      </c>
      <c r="Q140" s="162">
        <v>431</v>
      </c>
      <c r="R140" s="162">
        <v>5</v>
      </c>
      <c r="S140" s="160">
        <v>63.338888888888889</v>
      </c>
      <c r="T140" s="160">
        <v>67.044444444444451</v>
      </c>
      <c r="U140" s="160">
        <v>65.12222222222222</v>
      </c>
      <c r="V140" s="160">
        <v>66.88333333333334</v>
      </c>
      <c r="W140" s="160">
        <v>48.361111111111114</v>
      </c>
      <c r="X140" s="160">
        <v>53.944444444444443</v>
      </c>
      <c r="Y140" s="160">
        <v>50.794444444444444</v>
      </c>
      <c r="Z140" s="160">
        <v>0</v>
      </c>
      <c r="AA140" s="160">
        <v>0</v>
      </c>
      <c r="AB140" s="160">
        <v>0</v>
      </c>
      <c r="AC140" s="160">
        <v>0</v>
      </c>
      <c r="AD140" s="160">
        <v>0</v>
      </c>
      <c r="AE140" s="160">
        <v>0</v>
      </c>
      <c r="AF140" s="160">
        <v>352.15</v>
      </c>
      <c r="AG140" s="160">
        <v>0</v>
      </c>
      <c r="AH140" s="160">
        <v>0</v>
      </c>
      <c r="AI140" s="160">
        <v>415.48888888888888</v>
      </c>
      <c r="AJ140" s="160">
        <v>352.15</v>
      </c>
      <c r="AK140" s="160">
        <v>415.48888888888888</v>
      </c>
      <c r="AL140" s="161">
        <v>66.644444444444446</v>
      </c>
      <c r="AM140" s="161">
        <v>4</v>
      </c>
      <c r="AN140" s="161">
        <v>70.644444444444446</v>
      </c>
      <c r="AO140" s="161">
        <v>419.48888888888888</v>
      </c>
      <c r="AP140" s="162">
        <v>61</v>
      </c>
      <c r="AQ140" s="168">
        <v>65</v>
      </c>
      <c r="AR140" s="160">
        <v>72</v>
      </c>
      <c r="AS140" s="160">
        <v>68</v>
      </c>
      <c r="AT140" s="160">
        <v>65</v>
      </c>
      <c r="AU140" s="160">
        <v>50</v>
      </c>
      <c r="AV140" s="160">
        <v>53</v>
      </c>
      <c r="AW140" s="160">
        <v>0</v>
      </c>
      <c r="AX140" s="160">
        <v>0</v>
      </c>
      <c r="AY140" s="160">
        <v>0</v>
      </c>
      <c r="AZ140" s="160">
        <v>0</v>
      </c>
      <c r="BA140" s="160">
        <v>0</v>
      </c>
      <c r="BB140" s="160">
        <v>0</v>
      </c>
      <c r="BC140" s="160">
        <v>373</v>
      </c>
      <c r="BD140" s="160">
        <v>0</v>
      </c>
      <c r="BE140" s="160">
        <v>0</v>
      </c>
      <c r="BF140" s="160">
        <v>434</v>
      </c>
      <c r="BG140" s="160">
        <v>373</v>
      </c>
      <c r="BH140" s="160">
        <v>434</v>
      </c>
      <c r="BI140" s="160">
        <v>0</v>
      </c>
      <c r="BJ140" s="160">
        <v>61</v>
      </c>
      <c r="BK140" s="160">
        <v>0</v>
      </c>
      <c r="BL140" s="160">
        <v>150</v>
      </c>
      <c r="BM140" s="160">
        <v>57</v>
      </c>
      <c r="BN140" s="162">
        <v>2</v>
      </c>
      <c r="BO140" s="162">
        <v>59</v>
      </c>
      <c r="BP140" s="162">
        <v>24</v>
      </c>
      <c r="BQ140" s="163">
        <v>8.3522727272727304E-2</v>
      </c>
      <c r="BR140" s="164">
        <v>25.5</v>
      </c>
      <c r="BS140" s="164">
        <v>23.5</v>
      </c>
      <c r="BT140" s="164">
        <v>22.5</v>
      </c>
      <c r="BU140" s="164">
        <v>25.5</v>
      </c>
      <c r="BV140" s="165">
        <v>0</v>
      </c>
      <c r="BW140" s="165">
        <v>0</v>
      </c>
      <c r="BX140" s="166">
        <v>0</v>
      </c>
      <c r="BY140" s="166">
        <v>59.838887999999997</v>
      </c>
      <c r="BZ140" s="166">
        <v>0</v>
      </c>
      <c r="CA140" s="166">
        <v>59.838888888888889</v>
      </c>
      <c r="CB140" s="166">
        <v>63.711111111111109</v>
      </c>
      <c r="CC140" s="166">
        <v>69.466666666666669</v>
      </c>
      <c r="CD140" s="166">
        <v>66.650000000000006</v>
      </c>
      <c r="CE140" s="166">
        <v>62.705555555555556</v>
      </c>
      <c r="CF140" s="166">
        <v>48.983333333333334</v>
      </c>
      <c r="CG140" s="166">
        <v>52.144444444444446</v>
      </c>
      <c r="CH140" s="166">
        <v>0</v>
      </c>
      <c r="CI140" s="166">
        <v>0</v>
      </c>
      <c r="CJ140" s="166">
        <v>0</v>
      </c>
      <c r="CK140" s="166">
        <v>0</v>
      </c>
      <c r="CL140" s="166">
        <v>0</v>
      </c>
      <c r="CM140" s="166">
        <v>0</v>
      </c>
      <c r="CN140" s="166">
        <v>363.66111111111115</v>
      </c>
      <c r="CO140" s="166">
        <v>0</v>
      </c>
      <c r="CP140" s="166">
        <v>0</v>
      </c>
      <c r="CQ140" s="166">
        <v>423.5</v>
      </c>
      <c r="CR140" s="166">
        <v>363.66111111111115</v>
      </c>
      <c r="CS140" s="166">
        <v>423.5</v>
      </c>
      <c r="CT140" s="166">
        <v>61.655555555555601</v>
      </c>
      <c r="CU140" s="166">
        <v>2.6111111111111098</v>
      </c>
      <c r="CV140" s="166">
        <v>64.266666666666708</v>
      </c>
      <c r="CW140" s="166">
        <v>426.11111111111109</v>
      </c>
      <c r="CX140" s="166">
        <v>0</v>
      </c>
      <c r="CY140" s="166">
        <v>0</v>
      </c>
      <c r="CZ140" s="165">
        <v>63</v>
      </c>
      <c r="DA140" s="165">
        <v>63</v>
      </c>
      <c r="DB140" s="165">
        <v>67</v>
      </c>
      <c r="DC140" s="165">
        <v>71</v>
      </c>
      <c r="DD140" s="165">
        <v>73</v>
      </c>
      <c r="DE140" s="165">
        <v>63</v>
      </c>
      <c r="DF140" s="165">
        <v>57</v>
      </c>
      <c r="DG140" s="165">
        <v>49</v>
      </c>
      <c r="DH140" s="165">
        <v>0</v>
      </c>
      <c r="DI140" s="165">
        <v>0</v>
      </c>
      <c r="DJ140" s="165">
        <v>0</v>
      </c>
      <c r="DK140" s="165">
        <v>0</v>
      </c>
      <c r="DL140" s="165">
        <v>0</v>
      </c>
      <c r="DM140" s="165">
        <v>0</v>
      </c>
      <c r="DN140" s="165">
        <v>380</v>
      </c>
      <c r="DO140" s="165">
        <v>0</v>
      </c>
      <c r="DP140" s="165">
        <v>0</v>
      </c>
      <c r="DQ140" s="165">
        <v>443</v>
      </c>
      <c r="DR140" s="165">
        <v>380</v>
      </c>
      <c r="DS140" s="165">
        <v>443</v>
      </c>
      <c r="DT140" s="165">
        <v>0</v>
      </c>
      <c r="DU140" s="165">
        <v>149</v>
      </c>
      <c r="DV140" s="165">
        <v>65</v>
      </c>
      <c r="DW140" s="165">
        <v>3</v>
      </c>
      <c r="DX140" s="165">
        <v>68</v>
      </c>
      <c r="DY140" s="165">
        <v>446</v>
      </c>
      <c r="DZ140" s="165">
        <v>22</v>
      </c>
      <c r="EA140" s="166">
        <v>26</v>
      </c>
      <c r="EB140" s="166">
        <v>24</v>
      </c>
      <c r="EC140" s="166">
        <v>23</v>
      </c>
      <c r="ED140" s="166">
        <v>0</v>
      </c>
      <c r="EE140" s="166">
        <v>0</v>
      </c>
      <c r="EF140" s="166">
        <v>26</v>
      </c>
      <c r="EG140" s="167">
        <v>7.8431372549019607E-2</v>
      </c>
      <c r="EH140" s="165"/>
      <c r="EI140" s="165">
        <v>62</v>
      </c>
      <c r="EJ140" s="165">
        <v>379</v>
      </c>
      <c r="EK140" s="165">
        <v>379</v>
      </c>
      <c r="EL140" s="165">
        <v>0</v>
      </c>
      <c r="EM140" s="165">
        <v>0</v>
      </c>
      <c r="EN140" s="165">
        <v>441</v>
      </c>
      <c r="EO140" s="165">
        <v>0</v>
      </c>
      <c r="EP140" s="165">
        <v>68</v>
      </c>
      <c r="EQ140" s="165">
        <v>68</v>
      </c>
      <c r="ER140" s="165">
        <v>66</v>
      </c>
      <c r="ES140" s="165">
        <v>2</v>
      </c>
      <c r="ET140" s="165">
        <v>0</v>
      </c>
      <c r="EU140" s="166">
        <v>13.57</v>
      </c>
      <c r="EV140" s="166">
        <v>0.5</v>
      </c>
      <c r="EW140" s="166">
        <v>1.83</v>
      </c>
      <c r="EX140" s="166">
        <v>0</v>
      </c>
      <c r="EY140" s="166">
        <v>4.78</v>
      </c>
      <c r="EZ140" s="166">
        <v>20.68</v>
      </c>
      <c r="FA140" s="166">
        <v>60.983333333333334</v>
      </c>
      <c r="FB140" s="166">
        <v>0</v>
      </c>
      <c r="FC140" s="166">
        <v>60.983333333333334</v>
      </c>
      <c r="FD140" s="166">
        <v>65.583333333333329</v>
      </c>
      <c r="FE140" s="166">
        <v>68.911111111111111</v>
      </c>
      <c r="FF140" s="166">
        <v>68.705555555555549</v>
      </c>
      <c r="FG140" s="166">
        <v>62.555555555555557</v>
      </c>
      <c r="FH140" s="166">
        <v>54.12222222222222</v>
      </c>
      <c r="FI140" s="166">
        <v>47.855555555555554</v>
      </c>
      <c r="FJ140" s="166">
        <v>0</v>
      </c>
      <c r="FK140" s="166">
        <v>0</v>
      </c>
      <c r="FL140" s="166">
        <v>0</v>
      </c>
      <c r="FM140" s="166">
        <v>0</v>
      </c>
      <c r="FN140" s="166">
        <v>0</v>
      </c>
      <c r="FO140" s="166">
        <v>0</v>
      </c>
      <c r="FP140" s="166">
        <v>367.73333333333329</v>
      </c>
      <c r="FQ140" s="166">
        <v>0</v>
      </c>
      <c r="FR140" s="166">
        <v>0</v>
      </c>
      <c r="FS140" s="166">
        <v>428.71666666666658</v>
      </c>
      <c r="FT140" s="166">
        <v>367.73333333333329</v>
      </c>
      <c r="FU140" s="166">
        <v>428.71666666666658</v>
      </c>
      <c r="FV140" s="166">
        <v>65.294444444444451</v>
      </c>
      <c r="FW140" s="166">
        <v>3.1166666666666667</v>
      </c>
      <c r="FX140" s="166">
        <v>68.411111111111111</v>
      </c>
      <c r="FY140" s="166">
        <v>431.83333333333326</v>
      </c>
      <c r="FZ140" s="165">
        <v>66</v>
      </c>
      <c r="GA140" s="165">
        <v>0</v>
      </c>
      <c r="GB140" s="165">
        <v>66</v>
      </c>
      <c r="GC140" s="165">
        <v>65</v>
      </c>
      <c r="GD140" s="165">
        <v>70</v>
      </c>
      <c r="GE140" s="165">
        <v>62</v>
      </c>
      <c r="GF140" s="165">
        <v>74</v>
      </c>
      <c r="GG140" s="165">
        <v>57</v>
      </c>
      <c r="GH140" s="165">
        <v>49</v>
      </c>
      <c r="GI140" s="165">
        <v>0</v>
      </c>
      <c r="GJ140" s="165">
        <v>0</v>
      </c>
      <c r="GK140" s="165">
        <v>0</v>
      </c>
      <c r="GL140" s="165">
        <v>0</v>
      </c>
      <c r="GM140" s="165">
        <v>0</v>
      </c>
      <c r="GN140" s="165">
        <v>0</v>
      </c>
      <c r="GO140" s="165">
        <v>377</v>
      </c>
      <c r="GP140" s="165">
        <v>0</v>
      </c>
      <c r="GQ140" s="165">
        <v>0</v>
      </c>
      <c r="GR140" s="165">
        <v>443</v>
      </c>
      <c r="GS140" s="165">
        <v>377</v>
      </c>
      <c r="GT140" s="165">
        <v>443</v>
      </c>
      <c r="GU140" s="165">
        <v>0</v>
      </c>
      <c r="GV140" s="165">
        <v>134</v>
      </c>
      <c r="GW140" s="165">
        <v>52</v>
      </c>
      <c r="GX140" s="165">
        <v>5</v>
      </c>
      <c r="GY140" s="165">
        <v>57</v>
      </c>
      <c r="GZ140" s="165">
        <v>448</v>
      </c>
      <c r="HA140" s="165">
        <v>14</v>
      </c>
      <c r="HB140" s="166">
        <v>25</v>
      </c>
      <c r="HC140" s="166">
        <v>23</v>
      </c>
      <c r="HD140" s="166">
        <v>22</v>
      </c>
      <c r="HE140" s="166">
        <v>0</v>
      </c>
      <c r="HF140" s="166"/>
      <c r="HG140" s="166">
        <v>24.649000000000001</v>
      </c>
      <c r="HH140" s="166">
        <v>0</v>
      </c>
      <c r="HI140" s="166">
        <v>57</v>
      </c>
      <c r="HJ140" s="166">
        <v>57</v>
      </c>
      <c r="HK140" s="166">
        <v>52</v>
      </c>
      <c r="HL140" s="166">
        <v>5</v>
      </c>
      <c r="HM140" s="166">
        <v>0</v>
      </c>
      <c r="HN140" s="166">
        <v>63</v>
      </c>
      <c r="HO140" s="166">
        <v>380</v>
      </c>
      <c r="HP140" s="166">
        <v>380</v>
      </c>
      <c r="HQ140" s="166">
        <v>0</v>
      </c>
      <c r="HR140" s="166">
        <v>0</v>
      </c>
      <c r="HS140" s="166">
        <v>443</v>
      </c>
      <c r="HT140" s="166">
        <f>FY26_FE_Data_April15[[#This Row],[Oct 1, 2026 (CDC) - K]]+FY26_FE_Data_April15[[#This Row],[Oct 1, 2026 (CDC) - Grades 1-6]]+FY26_FE_Data_April15[[#This Row],[Oct 1, 2026 (CDC) - Grades 7-8]]</f>
        <v>443</v>
      </c>
      <c r="HU140" s="166">
        <v>0</v>
      </c>
      <c r="HW140" s="170"/>
      <c r="HY140" s="170"/>
    </row>
    <row r="141" spans="1:233" ht="26">
      <c r="A141" s="158" t="s">
        <v>635</v>
      </c>
      <c r="B141" s="159" t="s">
        <v>636</v>
      </c>
      <c r="C141" s="160" t="s">
        <v>637</v>
      </c>
      <c r="D141" s="160" t="s">
        <v>139</v>
      </c>
      <c r="E141" s="159" t="s">
        <v>784</v>
      </c>
      <c r="F141" s="159" t="s">
        <v>784</v>
      </c>
      <c r="G141" s="159"/>
      <c r="H141" s="161">
        <v>80.177777777777777</v>
      </c>
      <c r="I141" s="161">
        <v>0</v>
      </c>
      <c r="J141" s="161">
        <v>80.177777777777777</v>
      </c>
      <c r="K141" s="162">
        <v>71</v>
      </c>
      <c r="L141" s="162">
        <v>370</v>
      </c>
      <c r="M141" s="162">
        <v>90</v>
      </c>
      <c r="N141" s="162">
        <v>0</v>
      </c>
      <c r="O141" s="162">
        <v>531</v>
      </c>
      <c r="P141" s="162">
        <v>460</v>
      </c>
      <c r="Q141" s="162">
        <v>531</v>
      </c>
      <c r="R141" s="162">
        <v>0</v>
      </c>
      <c r="S141" s="160">
        <v>69.5</v>
      </c>
      <c r="T141" s="160">
        <v>69.222222222222229</v>
      </c>
      <c r="U141" s="160">
        <v>66.961111111111109</v>
      </c>
      <c r="V141" s="160">
        <v>51.111111111111114</v>
      </c>
      <c r="W141" s="160">
        <v>75.138888888888886</v>
      </c>
      <c r="X141" s="160">
        <v>52.105555555555554</v>
      </c>
      <c r="Y141" s="160">
        <v>49.605555555555554</v>
      </c>
      <c r="Z141" s="160">
        <v>51.305555555555557</v>
      </c>
      <c r="AA141" s="160">
        <v>37.422222222222224</v>
      </c>
      <c r="AB141" s="160">
        <v>0</v>
      </c>
      <c r="AC141" s="160">
        <v>0</v>
      </c>
      <c r="AD141" s="160">
        <v>0</v>
      </c>
      <c r="AE141" s="160">
        <v>0</v>
      </c>
      <c r="AF141" s="160">
        <v>364.14444444444445</v>
      </c>
      <c r="AG141" s="160">
        <v>88.727777777777789</v>
      </c>
      <c r="AH141" s="160">
        <v>0</v>
      </c>
      <c r="AI141" s="160">
        <v>522.37222222222226</v>
      </c>
      <c r="AJ141" s="160">
        <v>452.87222222222221</v>
      </c>
      <c r="AK141" s="160">
        <v>522.37222222222226</v>
      </c>
      <c r="AL141" s="161">
        <v>68.038888888888891</v>
      </c>
      <c r="AM141" s="161">
        <v>0</v>
      </c>
      <c r="AN141" s="161">
        <v>68.038888888888891</v>
      </c>
      <c r="AO141" s="161">
        <v>522.37222222222226</v>
      </c>
      <c r="AP141" s="162">
        <v>76</v>
      </c>
      <c r="AQ141" s="168">
        <v>77</v>
      </c>
      <c r="AR141" s="160">
        <v>69</v>
      </c>
      <c r="AS141" s="160">
        <v>72</v>
      </c>
      <c r="AT141" s="160">
        <v>58</v>
      </c>
      <c r="AU141" s="160">
        <v>76</v>
      </c>
      <c r="AV141" s="160">
        <v>53</v>
      </c>
      <c r="AW141" s="160">
        <v>53</v>
      </c>
      <c r="AX141" s="160">
        <v>39</v>
      </c>
      <c r="AY141" s="160">
        <v>0</v>
      </c>
      <c r="AZ141" s="160">
        <v>0</v>
      </c>
      <c r="BA141" s="160">
        <v>0</v>
      </c>
      <c r="BB141" s="160">
        <v>0</v>
      </c>
      <c r="BC141" s="160">
        <v>405</v>
      </c>
      <c r="BD141" s="160">
        <v>92</v>
      </c>
      <c r="BE141" s="160">
        <v>0</v>
      </c>
      <c r="BF141" s="160">
        <v>573</v>
      </c>
      <c r="BG141" s="160">
        <v>497</v>
      </c>
      <c r="BH141" s="160">
        <v>573</v>
      </c>
      <c r="BI141" s="160">
        <v>76</v>
      </c>
      <c r="BJ141" s="160">
        <v>0</v>
      </c>
      <c r="BK141" s="160">
        <v>0</v>
      </c>
      <c r="BL141" s="160">
        <v>273</v>
      </c>
      <c r="BM141" s="160">
        <v>76</v>
      </c>
      <c r="BN141" s="162">
        <v>0</v>
      </c>
      <c r="BO141" s="162">
        <v>76</v>
      </c>
      <c r="BP141" s="162">
        <v>35</v>
      </c>
      <c r="BQ141" s="163">
        <v>6.3030605967394682E-2</v>
      </c>
      <c r="BR141" s="164">
        <v>37.290999999999997</v>
      </c>
      <c r="BS141" s="164">
        <v>35.290999999999997</v>
      </c>
      <c r="BT141" s="164">
        <v>34.290999999999997</v>
      </c>
      <c r="BU141" s="164">
        <v>39.408000000000008</v>
      </c>
      <c r="BV141" s="165">
        <v>0</v>
      </c>
      <c r="BW141" s="165">
        <v>0</v>
      </c>
      <c r="BX141" s="166">
        <v>0</v>
      </c>
      <c r="BY141" s="166">
        <v>0</v>
      </c>
      <c r="BZ141" s="166">
        <v>74.894443999999993</v>
      </c>
      <c r="CA141" s="166">
        <v>74.894444444444446</v>
      </c>
      <c r="CB141" s="166">
        <v>75.155555555555551</v>
      </c>
      <c r="CC141" s="166">
        <v>68.794444444444451</v>
      </c>
      <c r="CD141" s="166">
        <v>71.63333333333334</v>
      </c>
      <c r="CE141" s="166">
        <v>57.87222222222222</v>
      </c>
      <c r="CF141" s="166">
        <v>76.63333333333334</v>
      </c>
      <c r="CG141" s="166">
        <v>51.35</v>
      </c>
      <c r="CH141" s="166">
        <v>49.044444444444444</v>
      </c>
      <c r="CI141" s="166">
        <v>37.988888888888887</v>
      </c>
      <c r="CJ141" s="166">
        <v>0</v>
      </c>
      <c r="CK141" s="166">
        <v>0</v>
      </c>
      <c r="CL141" s="166">
        <v>0</v>
      </c>
      <c r="CM141" s="166">
        <v>0</v>
      </c>
      <c r="CN141" s="166">
        <v>401.43888888888887</v>
      </c>
      <c r="CO141" s="166">
        <v>87.033333333333331</v>
      </c>
      <c r="CP141" s="166">
        <v>0</v>
      </c>
      <c r="CQ141" s="166">
        <v>563.36666666666679</v>
      </c>
      <c r="CR141" s="166">
        <v>488.47222222222217</v>
      </c>
      <c r="CS141" s="166">
        <v>563.36666666666679</v>
      </c>
      <c r="CT141" s="166">
        <v>81.511111111111106</v>
      </c>
      <c r="CU141" s="166">
        <v>0</v>
      </c>
      <c r="CV141" s="166">
        <v>81.511111111111106</v>
      </c>
      <c r="CW141" s="166">
        <v>563.36666666666679</v>
      </c>
      <c r="CX141" s="166">
        <v>0</v>
      </c>
      <c r="CY141" s="166">
        <v>82</v>
      </c>
      <c r="CZ141" s="165">
        <v>0</v>
      </c>
      <c r="DA141" s="165">
        <v>82</v>
      </c>
      <c r="DB141" s="165">
        <v>83</v>
      </c>
      <c r="DC141" s="165">
        <v>85</v>
      </c>
      <c r="DD141" s="165">
        <v>85</v>
      </c>
      <c r="DE141" s="165">
        <v>77</v>
      </c>
      <c r="DF141" s="165">
        <v>67</v>
      </c>
      <c r="DG141" s="165">
        <v>79</v>
      </c>
      <c r="DH141" s="165">
        <v>58</v>
      </c>
      <c r="DI141" s="165">
        <v>27</v>
      </c>
      <c r="DJ141" s="165">
        <v>0</v>
      </c>
      <c r="DK141" s="165">
        <v>0</v>
      </c>
      <c r="DL141" s="165">
        <v>0</v>
      </c>
      <c r="DM141" s="165">
        <v>0</v>
      </c>
      <c r="DN141" s="165">
        <v>476</v>
      </c>
      <c r="DO141" s="165">
        <v>85</v>
      </c>
      <c r="DP141" s="165">
        <v>0</v>
      </c>
      <c r="DQ141" s="165">
        <v>643</v>
      </c>
      <c r="DR141" s="165">
        <v>561</v>
      </c>
      <c r="DS141" s="165">
        <v>643</v>
      </c>
      <c r="DT141" s="165">
        <v>0</v>
      </c>
      <c r="DU141" s="165">
        <v>275</v>
      </c>
      <c r="DV141" s="165">
        <v>101</v>
      </c>
      <c r="DW141" s="165">
        <v>0</v>
      </c>
      <c r="DX141" s="165">
        <v>101</v>
      </c>
      <c r="DY141" s="165">
        <v>643</v>
      </c>
      <c r="DZ141" s="165">
        <v>53</v>
      </c>
      <c r="EA141" s="166">
        <v>38.933</v>
      </c>
      <c r="EB141" s="166">
        <v>36.933</v>
      </c>
      <c r="EC141" s="166">
        <v>31.067</v>
      </c>
      <c r="ED141" s="166">
        <v>3.8660000000000005</v>
      </c>
      <c r="EE141" s="166">
        <v>0</v>
      </c>
      <c r="EF141" s="166">
        <v>40.633000000000003</v>
      </c>
      <c r="EG141" s="167">
        <v>6.8097171660599309E-2</v>
      </c>
      <c r="EH141" s="165"/>
      <c r="EI141" s="165">
        <v>80</v>
      </c>
      <c r="EJ141" s="165">
        <v>565</v>
      </c>
      <c r="EK141" s="165">
        <v>475</v>
      </c>
      <c r="EL141" s="165">
        <v>90</v>
      </c>
      <c r="EM141" s="165">
        <v>0</v>
      </c>
      <c r="EN141" s="165">
        <v>645</v>
      </c>
      <c r="EO141" s="165">
        <v>0</v>
      </c>
      <c r="EP141" s="165">
        <v>96</v>
      </c>
      <c r="EQ141" s="165">
        <v>96</v>
      </c>
      <c r="ER141" s="165">
        <v>96</v>
      </c>
      <c r="ES141" s="165">
        <v>0</v>
      </c>
      <c r="ET141" s="165">
        <v>0</v>
      </c>
      <c r="EU141" s="166">
        <v>16</v>
      </c>
      <c r="EV141" s="166">
        <v>0.72</v>
      </c>
      <c r="EW141" s="166">
        <v>3</v>
      </c>
      <c r="EX141" s="166">
        <v>1</v>
      </c>
      <c r="EY141" s="166">
        <v>9</v>
      </c>
      <c r="EZ141" s="166">
        <v>29.72</v>
      </c>
      <c r="FA141" s="166">
        <v>0</v>
      </c>
      <c r="FB141" s="166">
        <v>81.49444444444444</v>
      </c>
      <c r="FC141" s="166">
        <v>81.49444444444444</v>
      </c>
      <c r="FD141" s="166">
        <v>84.222222222222229</v>
      </c>
      <c r="FE141" s="166">
        <v>85.188888888888883</v>
      </c>
      <c r="FF141" s="166">
        <v>82.738888888888894</v>
      </c>
      <c r="FG141" s="166">
        <v>74.527777777777771</v>
      </c>
      <c r="FH141" s="166">
        <v>68.594444444444449</v>
      </c>
      <c r="FI141" s="166">
        <v>78.138888888888886</v>
      </c>
      <c r="FJ141" s="166">
        <v>52.888888888888886</v>
      </c>
      <c r="FK141" s="166">
        <v>26.555555555555557</v>
      </c>
      <c r="FL141" s="166">
        <v>0</v>
      </c>
      <c r="FM141" s="166">
        <v>0</v>
      </c>
      <c r="FN141" s="166">
        <v>0</v>
      </c>
      <c r="FO141" s="166">
        <v>0</v>
      </c>
      <c r="FP141" s="166">
        <v>473.41111111111104</v>
      </c>
      <c r="FQ141" s="166">
        <v>79.444444444444443</v>
      </c>
      <c r="FR141" s="166">
        <v>0</v>
      </c>
      <c r="FS141" s="166">
        <v>634.35</v>
      </c>
      <c r="FT141" s="166">
        <v>552.8555555555555</v>
      </c>
      <c r="FU141" s="166">
        <v>634.35</v>
      </c>
      <c r="FV141" s="166">
        <v>98.311111111111117</v>
      </c>
      <c r="FW141" s="166">
        <v>0</v>
      </c>
      <c r="FX141" s="166">
        <v>98.311111111111117</v>
      </c>
      <c r="FY141" s="166">
        <v>634.35</v>
      </c>
      <c r="FZ141" s="165">
        <v>0</v>
      </c>
      <c r="GA141" s="165">
        <v>91</v>
      </c>
      <c r="GB141" s="165">
        <v>91</v>
      </c>
      <c r="GC141" s="165">
        <v>81</v>
      </c>
      <c r="GD141" s="165">
        <v>96</v>
      </c>
      <c r="GE141" s="165">
        <v>97</v>
      </c>
      <c r="GF141" s="165">
        <v>88</v>
      </c>
      <c r="GG141" s="165">
        <v>81</v>
      </c>
      <c r="GH141" s="165">
        <v>57</v>
      </c>
      <c r="GI141" s="165">
        <v>75</v>
      </c>
      <c r="GJ141" s="165">
        <v>30</v>
      </c>
      <c r="GK141" s="165">
        <v>0</v>
      </c>
      <c r="GL141" s="165">
        <v>0</v>
      </c>
      <c r="GM141" s="165">
        <v>0</v>
      </c>
      <c r="GN141" s="165">
        <v>0</v>
      </c>
      <c r="GO141" s="165">
        <v>500</v>
      </c>
      <c r="GP141" s="165">
        <v>105</v>
      </c>
      <c r="GQ141" s="165">
        <v>0</v>
      </c>
      <c r="GR141" s="165">
        <v>696</v>
      </c>
      <c r="GS141" s="165">
        <v>605</v>
      </c>
      <c r="GT141" s="165">
        <v>696</v>
      </c>
      <c r="GU141" s="165">
        <v>0</v>
      </c>
      <c r="GV141" s="165">
        <v>261</v>
      </c>
      <c r="GW141" s="165">
        <v>100</v>
      </c>
      <c r="GX141" s="165">
        <v>0</v>
      </c>
      <c r="GY141" s="165">
        <v>100</v>
      </c>
      <c r="GZ141" s="165">
        <v>696</v>
      </c>
      <c r="HA141" s="165">
        <v>47</v>
      </c>
      <c r="HB141" s="166">
        <v>41.066000000000003</v>
      </c>
      <c r="HC141" s="166">
        <v>39.066000000000003</v>
      </c>
      <c r="HD141" s="166">
        <v>29.139000000000003</v>
      </c>
      <c r="HE141" s="166">
        <v>4.3780000000000001</v>
      </c>
      <c r="HF141" s="166"/>
      <c r="HG141" s="166">
        <v>44.066000000000003</v>
      </c>
      <c r="HH141" s="166">
        <v>0</v>
      </c>
      <c r="HI141" s="166">
        <v>101</v>
      </c>
      <c r="HJ141" s="166">
        <v>101</v>
      </c>
      <c r="HK141" s="166">
        <v>101</v>
      </c>
      <c r="HL141" s="166">
        <v>0</v>
      </c>
      <c r="HM141" s="166">
        <v>1</v>
      </c>
      <c r="HN141" s="166">
        <v>45</v>
      </c>
      <c r="HO141" s="166">
        <v>655</v>
      </c>
      <c r="HP141" s="166">
        <v>550</v>
      </c>
      <c r="HQ141" s="166">
        <v>105</v>
      </c>
      <c r="HR141" s="166">
        <v>0</v>
      </c>
      <c r="HS141" s="166">
        <v>700</v>
      </c>
      <c r="HT141" s="166">
        <f>FY26_FE_Data_April15[[#This Row],[Oct 1, 2026 (CDC) - K]]+FY26_FE_Data_April15[[#This Row],[Oct 1, 2026 (CDC) - Grades 1-6]]+FY26_FE_Data_April15[[#This Row],[Oct 1, 2026 (CDC) - Grades 7-8]]</f>
        <v>700</v>
      </c>
      <c r="HU141" s="166">
        <v>0</v>
      </c>
      <c r="HW141" s="170"/>
      <c r="HY141" s="170"/>
    </row>
    <row r="142" spans="1:233" ht="39">
      <c r="A142" s="158" t="s">
        <v>638</v>
      </c>
      <c r="B142" s="159" t="s">
        <v>639</v>
      </c>
      <c r="C142" s="160" t="s">
        <v>640</v>
      </c>
      <c r="D142" s="160" t="s">
        <v>139</v>
      </c>
      <c r="E142" s="159" t="s">
        <v>784</v>
      </c>
      <c r="F142" s="159" t="s">
        <v>784</v>
      </c>
      <c r="G142" s="159"/>
      <c r="H142" s="161">
        <v>3</v>
      </c>
      <c r="I142" s="161">
        <v>0</v>
      </c>
      <c r="J142" s="161">
        <v>3</v>
      </c>
      <c r="K142" s="162">
        <v>0</v>
      </c>
      <c r="L142" s="162">
        <v>0</v>
      </c>
      <c r="M142" s="162">
        <v>0</v>
      </c>
      <c r="N142" s="162">
        <v>105</v>
      </c>
      <c r="O142" s="162">
        <v>105</v>
      </c>
      <c r="P142" s="162">
        <v>105</v>
      </c>
      <c r="Q142" s="162">
        <v>0</v>
      </c>
      <c r="R142" s="162">
        <v>0</v>
      </c>
      <c r="S142" s="160">
        <v>0</v>
      </c>
      <c r="T142" s="160">
        <v>0</v>
      </c>
      <c r="U142" s="160">
        <v>0</v>
      </c>
      <c r="V142" s="160">
        <v>0</v>
      </c>
      <c r="W142" s="160">
        <v>0</v>
      </c>
      <c r="X142" s="160">
        <v>0</v>
      </c>
      <c r="Y142" s="160">
        <v>0</v>
      </c>
      <c r="Z142" s="160">
        <v>0</v>
      </c>
      <c r="AA142" s="160">
        <v>0</v>
      </c>
      <c r="AB142" s="160">
        <v>24</v>
      </c>
      <c r="AC142" s="160">
        <v>26.644444444444446</v>
      </c>
      <c r="AD142" s="160">
        <v>27.338888888888889</v>
      </c>
      <c r="AE142" s="160">
        <v>27.772222222222222</v>
      </c>
      <c r="AF142" s="160">
        <v>0</v>
      </c>
      <c r="AG142" s="160">
        <v>0</v>
      </c>
      <c r="AH142" s="160">
        <v>105.75555555555556</v>
      </c>
      <c r="AI142" s="160">
        <v>0</v>
      </c>
      <c r="AJ142" s="160">
        <v>105.75555555555556</v>
      </c>
      <c r="AK142" s="160">
        <v>105.75555555555556</v>
      </c>
      <c r="AL142" s="161">
        <v>2.4555555555555557</v>
      </c>
      <c r="AM142" s="161">
        <v>0</v>
      </c>
      <c r="AN142" s="161">
        <v>2.4555555555555557</v>
      </c>
      <c r="AO142" s="161">
        <v>105.75555555555556</v>
      </c>
      <c r="AP142" s="162">
        <v>0</v>
      </c>
      <c r="AQ142" s="168">
        <v>0</v>
      </c>
      <c r="AR142" s="160">
        <v>0</v>
      </c>
      <c r="AS142" s="160">
        <v>0</v>
      </c>
      <c r="AT142" s="160">
        <v>0</v>
      </c>
      <c r="AU142" s="160">
        <v>0</v>
      </c>
      <c r="AV142" s="160">
        <v>0</v>
      </c>
      <c r="AW142" s="160">
        <v>0</v>
      </c>
      <c r="AX142" s="160">
        <v>0</v>
      </c>
      <c r="AY142" s="160">
        <v>31</v>
      </c>
      <c r="AZ142" s="160">
        <v>23</v>
      </c>
      <c r="BA142" s="160">
        <v>30</v>
      </c>
      <c r="BB142" s="160">
        <v>22</v>
      </c>
      <c r="BC142" s="160">
        <v>0</v>
      </c>
      <c r="BD142" s="160">
        <v>0</v>
      </c>
      <c r="BE142" s="160">
        <v>106</v>
      </c>
      <c r="BF142" s="160">
        <v>0</v>
      </c>
      <c r="BG142" s="160">
        <v>106</v>
      </c>
      <c r="BH142" s="160">
        <v>106</v>
      </c>
      <c r="BI142" s="160">
        <v>0</v>
      </c>
      <c r="BJ142" s="160">
        <v>0</v>
      </c>
      <c r="BK142" s="160">
        <v>0</v>
      </c>
      <c r="BL142" s="160">
        <v>0</v>
      </c>
      <c r="BM142" s="160">
        <v>1</v>
      </c>
      <c r="BN142" s="162">
        <v>0</v>
      </c>
      <c r="BO142" s="162">
        <v>1</v>
      </c>
      <c r="BP142" s="162">
        <v>0</v>
      </c>
      <c r="BQ142" s="163">
        <v>8.2758620689655171E-2</v>
      </c>
      <c r="BR142" s="164">
        <v>9.3030000000000008</v>
      </c>
      <c r="BS142" s="164">
        <v>8.3529999999999998</v>
      </c>
      <c r="BT142" s="164">
        <v>8.3529999999999998</v>
      </c>
      <c r="BU142" s="164">
        <v>9.802999999999999</v>
      </c>
      <c r="BV142" s="165">
        <v>0</v>
      </c>
      <c r="BW142" s="165">
        <v>0</v>
      </c>
      <c r="BX142" s="166">
        <v>0</v>
      </c>
      <c r="BY142" s="166">
        <v>0</v>
      </c>
      <c r="BZ142" s="166">
        <v>0</v>
      </c>
      <c r="CA142" s="166">
        <v>0</v>
      </c>
      <c r="CB142" s="166">
        <v>0</v>
      </c>
      <c r="CC142" s="166">
        <v>0</v>
      </c>
      <c r="CD142" s="166">
        <v>0</v>
      </c>
      <c r="CE142" s="166">
        <v>0</v>
      </c>
      <c r="CF142" s="166">
        <v>0</v>
      </c>
      <c r="CG142" s="166">
        <v>0</v>
      </c>
      <c r="CH142" s="166">
        <v>0</v>
      </c>
      <c r="CI142" s="166">
        <v>0</v>
      </c>
      <c r="CJ142" s="166">
        <v>21.555555555555557</v>
      </c>
      <c r="CK142" s="166">
        <v>26.95</v>
      </c>
      <c r="CL142" s="166">
        <v>28.072222222222223</v>
      </c>
      <c r="CM142" s="166">
        <v>24.744444444444444</v>
      </c>
      <c r="CN142" s="166">
        <v>0</v>
      </c>
      <c r="CO142" s="166">
        <v>0</v>
      </c>
      <c r="CP142" s="166">
        <v>101.32222222222222</v>
      </c>
      <c r="CQ142" s="166">
        <v>0</v>
      </c>
      <c r="CR142" s="166">
        <v>101.32222222222222</v>
      </c>
      <c r="CS142" s="166">
        <v>101.32222222222222</v>
      </c>
      <c r="CT142" s="166">
        <v>0.92222222222222205</v>
      </c>
      <c r="CU142" s="166">
        <v>0</v>
      </c>
      <c r="CV142" s="166">
        <v>0.92222222222222205</v>
      </c>
      <c r="CW142" s="166">
        <v>101.32222222222222</v>
      </c>
      <c r="CX142" s="166">
        <v>0</v>
      </c>
      <c r="CY142" s="166">
        <v>0</v>
      </c>
      <c r="CZ142" s="165">
        <v>0</v>
      </c>
      <c r="DA142" s="165">
        <v>0</v>
      </c>
      <c r="DB142" s="165">
        <v>0</v>
      </c>
      <c r="DC142" s="165">
        <v>0</v>
      </c>
      <c r="DD142" s="165">
        <v>0</v>
      </c>
      <c r="DE142" s="165">
        <v>0</v>
      </c>
      <c r="DF142" s="165">
        <v>0</v>
      </c>
      <c r="DG142" s="165">
        <v>0</v>
      </c>
      <c r="DH142" s="165">
        <v>0</v>
      </c>
      <c r="DI142" s="165">
        <v>0</v>
      </c>
      <c r="DJ142" s="165">
        <v>17</v>
      </c>
      <c r="DK142" s="165">
        <v>30</v>
      </c>
      <c r="DL142" s="165">
        <v>27</v>
      </c>
      <c r="DM142" s="165">
        <v>24</v>
      </c>
      <c r="DN142" s="165">
        <v>0</v>
      </c>
      <c r="DO142" s="165">
        <v>0</v>
      </c>
      <c r="DP142" s="165">
        <v>98</v>
      </c>
      <c r="DQ142" s="165">
        <v>0</v>
      </c>
      <c r="DR142" s="165">
        <v>98</v>
      </c>
      <c r="DS142" s="165">
        <v>98</v>
      </c>
      <c r="DT142" s="165">
        <v>0</v>
      </c>
      <c r="DU142" s="165">
        <v>0</v>
      </c>
      <c r="DV142" s="165">
        <v>0</v>
      </c>
      <c r="DW142" s="165">
        <v>0</v>
      </c>
      <c r="DX142" s="165">
        <v>0</v>
      </c>
      <c r="DY142" s="165">
        <v>98</v>
      </c>
      <c r="DZ142" s="165">
        <v>1</v>
      </c>
      <c r="EA142" s="166">
        <v>9.65</v>
      </c>
      <c r="EB142" s="166">
        <v>8.7200000000000006</v>
      </c>
      <c r="EC142" s="166">
        <v>0</v>
      </c>
      <c r="ED142" s="166">
        <v>6.2739999999999991</v>
      </c>
      <c r="EE142" s="166">
        <v>0</v>
      </c>
      <c r="EF142" s="166">
        <v>10.236000000000001</v>
      </c>
      <c r="EG142" s="167">
        <v>9.2060606060606065E-2</v>
      </c>
      <c r="EH142" s="165"/>
      <c r="EI142" s="165">
        <v>0</v>
      </c>
      <c r="EJ142" s="165">
        <v>98</v>
      </c>
      <c r="EK142" s="165">
        <v>0</v>
      </c>
      <c r="EL142" s="165">
        <v>0</v>
      </c>
      <c r="EM142" s="165">
        <v>98</v>
      </c>
      <c r="EN142" s="165">
        <v>98</v>
      </c>
      <c r="EO142" s="165">
        <v>0</v>
      </c>
      <c r="EP142" s="165">
        <v>0</v>
      </c>
      <c r="EQ142" s="165">
        <v>0</v>
      </c>
      <c r="ER142" s="165">
        <v>0</v>
      </c>
      <c r="ES142" s="165">
        <v>0</v>
      </c>
      <c r="ET142" s="165">
        <v>0</v>
      </c>
      <c r="EU142" s="166">
        <v>3</v>
      </c>
      <c r="EV142" s="166">
        <v>0</v>
      </c>
      <c r="EW142" s="166">
        <v>1</v>
      </c>
      <c r="EX142" s="166">
        <v>0</v>
      </c>
      <c r="EY142" s="166">
        <v>0</v>
      </c>
      <c r="EZ142" s="166">
        <v>4</v>
      </c>
      <c r="FA142" s="166">
        <v>0</v>
      </c>
      <c r="FB142" s="166">
        <v>0</v>
      </c>
      <c r="FC142" s="166">
        <v>0</v>
      </c>
      <c r="FD142" s="166">
        <v>0</v>
      </c>
      <c r="FE142" s="166">
        <v>0</v>
      </c>
      <c r="FF142" s="166">
        <v>0</v>
      </c>
      <c r="FG142" s="166">
        <v>0</v>
      </c>
      <c r="FH142" s="166">
        <v>0</v>
      </c>
      <c r="FI142" s="166">
        <v>0</v>
      </c>
      <c r="FJ142" s="166">
        <v>0</v>
      </c>
      <c r="FK142" s="166">
        <v>0</v>
      </c>
      <c r="FL142" s="166">
        <v>20.45</v>
      </c>
      <c r="FM142" s="166">
        <v>24.794444444444444</v>
      </c>
      <c r="FN142" s="166">
        <v>27.994444444444444</v>
      </c>
      <c r="FO142" s="166">
        <v>25.183333333333334</v>
      </c>
      <c r="FP142" s="166">
        <v>0</v>
      </c>
      <c r="FQ142" s="166">
        <v>0</v>
      </c>
      <c r="FR142" s="166">
        <v>98.422222222222217</v>
      </c>
      <c r="FS142" s="166">
        <v>0</v>
      </c>
      <c r="FT142" s="166">
        <v>98.422222222222217</v>
      </c>
      <c r="FU142" s="166">
        <v>98.422222222222217</v>
      </c>
      <c r="FV142" s="166">
        <v>0</v>
      </c>
      <c r="FW142" s="166">
        <v>0</v>
      </c>
      <c r="FX142" s="166">
        <v>0</v>
      </c>
      <c r="FY142" s="166">
        <v>98.422222222222217</v>
      </c>
      <c r="FZ142" s="165">
        <v>0</v>
      </c>
      <c r="GA142" s="165">
        <v>0</v>
      </c>
      <c r="GB142" s="165">
        <v>0</v>
      </c>
      <c r="GC142" s="165">
        <v>0</v>
      </c>
      <c r="GD142" s="165">
        <v>0</v>
      </c>
      <c r="GE142" s="165">
        <v>0</v>
      </c>
      <c r="GF142" s="165">
        <v>0</v>
      </c>
      <c r="GG142" s="165">
        <v>0</v>
      </c>
      <c r="GH142" s="165">
        <v>0</v>
      </c>
      <c r="GI142" s="165">
        <v>0</v>
      </c>
      <c r="GJ142" s="165">
        <v>0</v>
      </c>
      <c r="GK142" s="165">
        <v>23</v>
      </c>
      <c r="GL142" s="165">
        <v>14</v>
      </c>
      <c r="GM142" s="165">
        <v>27</v>
      </c>
      <c r="GN142" s="165">
        <v>25</v>
      </c>
      <c r="GO142" s="165">
        <v>0</v>
      </c>
      <c r="GP142" s="165">
        <v>0</v>
      </c>
      <c r="GQ142" s="165">
        <v>89</v>
      </c>
      <c r="GR142" s="165">
        <v>0</v>
      </c>
      <c r="GS142" s="165">
        <v>89</v>
      </c>
      <c r="GT142" s="165">
        <v>89</v>
      </c>
      <c r="GU142" s="165">
        <v>0</v>
      </c>
      <c r="GV142" s="165">
        <v>0</v>
      </c>
      <c r="GW142" s="165">
        <v>0</v>
      </c>
      <c r="GX142" s="165">
        <v>0</v>
      </c>
      <c r="GY142" s="165">
        <v>0</v>
      </c>
      <c r="GZ142" s="165">
        <v>89</v>
      </c>
      <c r="HA142" s="165">
        <v>1</v>
      </c>
      <c r="HB142" s="166">
        <v>10.18</v>
      </c>
      <c r="HC142" s="166">
        <v>9.25</v>
      </c>
      <c r="HD142" s="166">
        <v>0</v>
      </c>
      <c r="HE142" s="166">
        <v>6.4039999999999999</v>
      </c>
      <c r="HF142" s="166"/>
      <c r="HG142" s="166">
        <v>10.766</v>
      </c>
      <c r="HH142" s="166">
        <v>0</v>
      </c>
      <c r="HI142" s="166">
        <v>0</v>
      </c>
      <c r="HJ142" s="166">
        <v>0</v>
      </c>
      <c r="HK142" s="166">
        <v>0</v>
      </c>
      <c r="HL142" s="166">
        <v>0</v>
      </c>
      <c r="HM142" s="166">
        <v>0</v>
      </c>
      <c r="HN142" s="166">
        <v>0</v>
      </c>
      <c r="HO142" s="166">
        <v>98</v>
      </c>
      <c r="HP142" s="166">
        <v>0</v>
      </c>
      <c r="HQ142" s="166">
        <v>0</v>
      </c>
      <c r="HR142" s="166">
        <v>98</v>
      </c>
      <c r="HS142" s="166">
        <v>98</v>
      </c>
      <c r="HT142" s="166">
        <f>FY26_FE_Data_April15[[#This Row],[Oct 1, 2026 (CDC) - K]]+FY26_FE_Data_April15[[#This Row],[Oct 1, 2026 (CDC) - Grades 1-6]]+FY26_FE_Data_April15[[#This Row],[Oct 1, 2026 (CDC) - Grades 7-8]]</f>
        <v>0</v>
      </c>
      <c r="HU142" s="166">
        <v>0</v>
      </c>
      <c r="HW142" s="170"/>
      <c r="HY142" s="170"/>
    </row>
    <row r="143" spans="1:233" ht="26">
      <c r="A143" s="158" t="s">
        <v>641</v>
      </c>
      <c r="B143" s="159" t="s">
        <v>642</v>
      </c>
      <c r="C143" s="160" t="s">
        <v>643</v>
      </c>
      <c r="D143" s="160" t="s">
        <v>139</v>
      </c>
      <c r="E143" s="159" t="s">
        <v>784</v>
      </c>
      <c r="F143" s="159" t="s">
        <v>784</v>
      </c>
      <c r="G143" s="159"/>
      <c r="H143" s="161">
        <v>88.277777777777771</v>
      </c>
      <c r="I143" s="161">
        <v>15.616666666666667</v>
      </c>
      <c r="J143" s="161">
        <v>103.89444444444445</v>
      </c>
      <c r="K143" s="162">
        <v>49</v>
      </c>
      <c r="L143" s="162">
        <v>300</v>
      </c>
      <c r="M143" s="162">
        <v>100</v>
      </c>
      <c r="N143" s="162">
        <v>197</v>
      </c>
      <c r="O143" s="162">
        <v>646</v>
      </c>
      <c r="P143" s="162">
        <v>597</v>
      </c>
      <c r="Q143" s="162">
        <v>449</v>
      </c>
      <c r="R143" s="162">
        <v>17</v>
      </c>
      <c r="S143" s="160">
        <v>46.977777777777774</v>
      </c>
      <c r="T143" s="160">
        <v>49.022222222222226</v>
      </c>
      <c r="U143" s="160">
        <v>49.988888888888887</v>
      </c>
      <c r="V143" s="160">
        <v>49.022222222222226</v>
      </c>
      <c r="W143" s="160">
        <v>49.988888888888887</v>
      </c>
      <c r="X143" s="160">
        <v>49.983333333333334</v>
      </c>
      <c r="Y143" s="160">
        <v>50.005555555555553</v>
      </c>
      <c r="Z143" s="160">
        <v>48</v>
      </c>
      <c r="AA143" s="160">
        <v>47.883333333333333</v>
      </c>
      <c r="AB143" s="160">
        <v>47.783333333333331</v>
      </c>
      <c r="AC143" s="160">
        <v>48.555555555555557</v>
      </c>
      <c r="AD143" s="160">
        <v>48.594444444444441</v>
      </c>
      <c r="AE143" s="160">
        <v>39.505555555555553</v>
      </c>
      <c r="AF143" s="160">
        <v>298.01111111111112</v>
      </c>
      <c r="AG143" s="160">
        <v>95.883333333333326</v>
      </c>
      <c r="AH143" s="160">
        <v>184.4388888888889</v>
      </c>
      <c r="AI143" s="160">
        <v>440.87222222222221</v>
      </c>
      <c r="AJ143" s="160">
        <v>578.33333333333337</v>
      </c>
      <c r="AK143" s="160">
        <v>625.31111111111113</v>
      </c>
      <c r="AL143" s="161">
        <v>101.01666666666667</v>
      </c>
      <c r="AM143" s="161">
        <v>16.927777777777777</v>
      </c>
      <c r="AN143" s="161">
        <v>117.94444444444444</v>
      </c>
      <c r="AO143" s="161">
        <v>642.23888888888894</v>
      </c>
      <c r="AP143" s="162">
        <v>50</v>
      </c>
      <c r="AQ143" s="168">
        <v>50</v>
      </c>
      <c r="AR143" s="160">
        <v>50</v>
      </c>
      <c r="AS143" s="160">
        <v>50</v>
      </c>
      <c r="AT143" s="160">
        <v>50</v>
      </c>
      <c r="AU143" s="160">
        <v>50</v>
      </c>
      <c r="AV143" s="160">
        <v>50</v>
      </c>
      <c r="AW143" s="160">
        <v>50</v>
      </c>
      <c r="AX143" s="160">
        <v>50</v>
      </c>
      <c r="AY143" s="160">
        <v>43</v>
      </c>
      <c r="AZ143" s="160">
        <v>39</v>
      </c>
      <c r="BA143" s="160">
        <v>47</v>
      </c>
      <c r="BB143" s="160">
        <v>43</v>
      </c>
      <c r="BC143" s="160">
        <v>300</v>
      </c>
      <c r="BD143" s="160">
        <v>100</v>
      </c>
      <c r="BE143" s="160">
        <v>172</v>
      </c>
      <c r="BF143" s="160">
        <v>450</v>
      </c>
      <c r="BG143" s="160">
        <v>572</v>
      </c>
      <c r="BH143" s="160">
        <v>622</v>
      </c>
      <c r="BI143" s="160">
        <v>50</v>
      </c>
      <c r="BJ143" s="160">
        <v>0</v>
      </c>
      <c r="BK143" s="160">
        <v>0</v>
      </c>
      <c r="BL143" s="160">
        <v>141</v>
      </c>
      <c r="BM143" s="160">
        <v>108</v>
      </c>
      <c r="BN143" s="162">
        <v>18</v>
      </c>
      <c r="BO143" s="162">
        <v>126</v>
      </c>
      <c r="BP143" s="162">
        <v>0</v>
      </c>
      <c r="BQ143" s="163">
        <v>7.3020337802613244E-2</v>
      </c>
      <c r="BR143" s="164">
        <v>32.35</v>
      </c>
      <c r="BS143" s="164">
        <v>31.6</v>
      </c>
      <c r="BT143" s="164">
        <v>30.880000000000003</v>
      </c>
      <c r="BU143" s="164">
        <v>33.429999999999993</v>
      </c>
      <c r="BV143" s="165">
        <v>0</v>
      </c>
      <c r="BW143" s="165">
        <v>0</v>
      </c>
      <c r="BX143" s="166">
        <v>0</v>
      </c>
      <c r="BY143" s="166">
        <v>0.44444400000000001</v>
      </c>
      <c r="BZ143" s="166">
        <v>47.644444</v>
      </c>
      <c r="CA143" s="166">
        <v>48.088888888888889</v>
      </c>
      <c r="CB143" s="166">
        <v>46.06666666666667</v>
      </c>
      <c r="CC143" s="166">
        <v>49.05</v>
      </c>
      <c r="CD143" s="166">
        <v>50.044444444444444</v>
      </c>
      <c r="CE143" s="166">
        <v>49.055555555555557</v>
      </c>
      <c r="CF143" s="166">
        <v>50.366666666666667</v>
      </c>
      <c r="CG143" s="166">
        <v>49.088888888888889</v>
      </c>
      <c r="CH143" s="166">
        <v>49.961111111111109</v>
      </c>
      <c r="CI143" s="166">
        <v>46.333333333333336</v>
      </c>
      <c r="CJ143" s="166">
        <v>41.038888888888891</v>
      </c>
      <c r="CK143" s="166">
        <v>38.144444444444446</v>
      </c>
      <c r="CL143" s="166">
        <v>42.955555555555556</v>
      </c>
      <c r="CM143" s="166">
        <v>39.93333333333333</v>
      </c>
      <c r="CN143" s="166">
        <v>293.67222222222227</v>
      </c>
      <c r="CO143" s="166">
        <v>96.294444444444451</v>
      </c>
      <c r="CP143" s="166">
        <v>162.07222222222222</v>
      </c>
      <c r="CQ143" s="166">
        <v>438.0555555555556</v>
      </c>
      <c r="CR143" s="166">
        <v>552.03888888888889</v>
      </c>
      <c r="CS143" s="166">
        <v>600.12777777777774</v>
      </c>
      <c r="CT143" s="166">
        <v>108.73333333333299</v>
      </c>
      <c r="CU143" s="166">
        <v>19.794444444444402</v>
      </c>
      <c r="CV143" s="166">
        <v>128.5277777777774</v>
      </c>
      <c r="CW143" s="166">
        <v>619.9222222222221</v>
      </c>
      <c r="CX143" s="166">
        <v>0</v>
      </c>
      <c r="CY143" s="166">
        <v>49</v>
      </c>
      <c r="CZ143" s="165">
        <v>0</v>
      </c>
      <c r="DA143" s="165">
        <v>49</v>
      </c>
      <c r="DB143" s="165">
        <v>52</v>
      </c>
      <c r="DC143" s="165">
        <v>52</v>
      </c>
      <c r="DD143" s="165">
        <v>52</v>
      </c>
      <c r="DE143" s="165">
        <v>51</v>
      </c>
      <c r="DF143" s="165">
        <v>52</v>
      </c>
      <c r="DG143" s="165">
        <v>52</v>
      </c>
      <c r="DH143" s="165">
        <v>50</v>
      </c>
      <c r="DI143" s="165">
        <v>50</v>
      </c>
      <c r="DJ143" s="165">
        <v>36</v>
      </c>
      <c r="DK143" s="165">
        <v>40</v>
      </c>
      <c r="DL143" s="165">
        <v>28</v>
      </c>
      <c r="DM143" s="165">
        <v>33</v>
      </c>
      <c r="DN143" s="165">
        <v>311</v>
      </c>
      <c r="DO143" s="165">
        <v>100</v>
      </c>
      <c r="DP143" s="165">
        <v>137</v>
      </c>
      <c r="DQ143" s="165">
        <v>460</v>
      </c>
      <c r="DR143" s="165">
        <v>548</v>
      </c>
      <c r="DS143" s="165">
        <v>597</v>
      </c>
      <c r="DT143" s="165">
        <v>0</v>
      </c>
      <c r="DU143" s="165">
        <v>117</v>
      </c>
      <c r="DV143" s="165">
        <v>101</v>
      </c>
      <c r="DW143" s="165">
        <v>17</v>
      </c>
      <c r="DX143" s="165">
        <v>118</v>
      </c>
      <c r="DY143" s="165">
        <v>614</v>
      </c>
      <c r="DZ143" s="165">
        <v>0</v>
      </c>
      <c r="EA143" s="166">
        <v>33.35</v>
      </c>
      <c r="EB143" s="166">
        <v>32.6</v>
      </c>
      <c r="EC143" s="166">
        <v>16</v>
      </c>
      <c r="ED143" s="166">
        <v>14.370000000000003</v>
      </c>
      <c r="EE143" s="166">
        <v>0</v>
      </c>
      <c r="EF143" s="166">
        <v>34.299999999999997</v>
      </c>
      <c r="EG143" s="167">
        <v>7.2417990609771388E-2</v>
      </c>
      <c r="EH143" s="165"/>
      <c r="EI143" s="165">
        <v>50</v>
      </c>
      <c r="EJ143" s="165">
        <v>549</v>
      </c>
      <c r="EK143" s="165">
        <v>301</v>
      </c>
      <c r="EL143" s="165">
        <v>100</v>
      </c>
      <c r="EM143" s="165">
        <v>148</v>
      </c>
      <c r="EN143" s="165">
        <v>599</v>
      </c>
      <c r="EO143" s="165">
        <v>0</v>
      </c>
      <c r="EP143" s="165">
        <v>155</v>
      </c>
      <c r="EQ143" s="165">
        <v>155</v>
      </c>
      <c r="ER143" s="165">
        <v>134</v>
      </c>
      <c r="ES143" s="165">
        <v>21</v>
      </c>
      <c r="ET143" s="165">
        <v>0</v>
      </c>
      <c r="EU143" s="166">
        <v>22.27</v>
      </c>
      <c r="EV143" s="166">
        <v>0</v>
      </c>
      <c r="EW143" s="166">
        <v>3</v>
      </c>
      <c r="EX143" s="166">
        <v>2.2650000000000001</v>
      </c>
      <c r="EY143" s="166">
        <v>8.7840000000000007</v>
      </c>
      <c r="EZ143" s="166">
        <v>36.319000000000003</v>
      </c>
      <c r="FA143" s="166">
        <v>0</v>
      </c>
      <c r="FB143" s="166">
        <v>41.416666666666664</v>
      </c>
      <c r="FC143" s="166">
        <v>41.416666666666664</v>
      </c>
      <c r="FD143" s="166">
        <v>49.922222222222224</v>
      </c>
      <c r="FE143" s="166">
        <v>49.761111111111113</v>
      </c>
      <c r="FF143" s="166">
        <v>50.861111111111114</v>
      </c>
      <c r="FG143" s="166">
        <v>50.488888888888887</v>
      </c>
      <c r="FH143" s="166">
        <v>51.033333333333331</v>
      </c>
      <c r="FI143" s="166">
        <v>52.016666666666666</v>
      </c>
      <c r="FJ143" s="166">
        <v>51.822222222222223</v>
      </c>
      <c r="FK143" s="166">
        <v>49.388888888888886</v>
      </c>
      <c r="FL143" s="166">
        <v>37.088888888888889</v>
      </c>
      <c r="FM143" s="166">
        <v>37.155555555555559</v>
      </c>
      <c r="FN143" s="166">
        <v>25.538888888888888</v>
      </c>
      <c r="FO143" s="166">
        <v>28.611111111111111</v>
      </c>
      <c r="FP143" s="166">
        <v>304.08333333333331</v>
      </c>
      <c r="FQ143" s="166">
        <v>101.21111111111111</v>
      </c>
      <c r="FR143" s="166">
        <v>128.39444444444445</v>
      </c>
      <c r="FS143" s="166">
        <v>446.71111111111111</v>
      </c>
      <c r="FT143" s="166">
        <v>533.68888888888898</v>
      </c>
      <c r="FU143" s="166">
        <v>575.1055555555555</v>
      </c>
      <c r="FV143" s="166">
        <v>133.24444444444444</v>
      </c>
      <c r="FW143" s="166">
        <v>21.038888888888888</v>
      </c>
      <c r="FX143" s="166">
        <v>154.28333333333333</v>
      </c>
      <c r="FY143" s="166">
        <v>596.14444444444439</v>
      </c>
      <c r="FZ143" s="165">
        <v>0</v>
      </c>
      <c r="GA143" s="165">
        <v>50</v>
      </c>
      <c r="GB143" s="165">
        <v>50</v>
      </c>
      <c r="GC143" s="165">
        <v>49</v>
      </c>
      <c r="GD143" s="165">
        <v>52</v>
      </c>
      <c r="GE143" s="165">
        <v>52</v>
      </c>
      <c r="GF143" s="165">
        <v>52</v>
      </c>
      <c r="GG143" s="165">
        <v>52</v>
      </c>
      <c r="GH143" s="165">
        <v>52</v>
      </c>
      <c r="GI143" s="165">
        <v>48</v>
      </c>
      <c r="GJ143" s="165">
        <v>51</v>
      </c>
      <c r="GK143" s="165">
        <v>35</v>
      </c>
      <c r="GL143" s="165">
        <v>32</v>
      </c>
      <c r="GM143" s="165">
        <v>36</v>
      </c>
      <c r="GN143" s="165">
        <v>24</v>
      </c>
      <c r="GO143" s="165">
        <v>309</v>
      </c>
      <c r="GP143" s="165">
        <v>99</v>
      </c>
      <c r="GQ143" s="165">
        <v>127</v>
      </c>
      <c r="GR143" s="165">
        <v>458</v>
      </c>
      <c r="GS143" s="165">
        <v>535</v>
      </c>
      <c r="GT143" s="165">
        <v>585</v>
      </c>
      <c r="GU143" s="165">
        <v>0</v>
      </c>
      <c r="GV143" s="165">
        <v>143</v>
      </c>
      <c r="GW143" s="165">
        <v>110</v>
      </c>
      <c r="GX143" s="165">
        <v>19</v>
      </c>
      <c r="GY143" s="165">
        <v>129</v>
      </c>
      <c r="GZ143" s="165">
        <v>604</v>
      </c>
      <c r="HA143" s="165">
        <v>0</v>
      </c>
      <c r="HB143" s="166">
        <v>27.79</v>
      </c>
      <c r="HC143" s="166">
        <v>26.8</v>
      </c>
      <c r="HD143" s="166">
        <v>15</v>
      </c>
      <c r="HE143" s="166">
        <v>10.31</v>
      </c>
      <c r="HF143" s="166"/>
      <c r="HG143" s="166">
        <v>28.55</v>
      </c>
      <c r="HH143" s="166">
        <v>0</v>
      </c>
      <c r="HI143" s="166">
        <v>154</v>
      </c>
      <c r="HJ143" s="166">
        <v>154</v>
      </c>
      <c r="HK143" s="166">
        <v>132</v>
      </c>
      <c r="HL143" s="166">
        <v>22</v>
      </c>
      <c r="HM143" s="166">
        <v>0</v>
      </c>
      <c r="HN143" s="166">
        <v>49</v>
      </c>
      <c r="HO143" s="166">
        <v>547</v>
      </c>
      <c r="HP143" s="166">
        <v>311</v>
      </c>
      <c r="HQ143" s="166">
        <v>100</v>
      </c>
      <c r="HR143" s="166">
        <v>136</v>
      </c>
      <c r="HS143" s="166">
        <v>596</v>
      </c>
      <c r="HT143" s="166">
        <f>FY26_FE_Data_April15[[#This Row],[Oct 1, 2026 (CDC) - K]]+FY26_FE_Data_April15[[#This Row],[Oct 1, 2026 (CDC) - Grades 1-6]]+FY26_FE_Data_April15[[#This Row],[Oct 1, 2026 (CDC) - Grades 7-8]]</f>
        <v>460</v>
      </c>
      <c r="HU143" s="166">
        <v>0</v>
      </c>
      <c r="HW143" s="170"/>
      <c r="HY143" s="170"/>
    </row>
    <row r="144" spans="1:233" ht="39">
      <c r="A144" s="158" t="s">
        <v>644</v>
      </c>
      <c r="B144" s="159" t="s">
        <v>645</v>
      </c>
      <c r="C144" s="160" t="s">
        <v>646</v>
      </c>
      <c r="D144" s="160" t="s">
        <v>139</v>
      </c>
      <c r="E144" s="159" t="s">
        <v>784</v>
      </c>
      <c r="F144" s="159" t="s">
        <v>784</v>
      </c>
      <c r="G144" s="159"/>
      <c r="H144" s="161">
        <v>76.311111111111117</v>
      </c>
      <c r="I144" s="161">
        <v>0</v>
      </c>
      <c r="J144" s="161">
        <v>76.311111111111117</v>
      </c>
      <c r="K144" s="162">
        <v>0</v>
      </c>
      <c r="L144" s="162">
        <v>28</v>
      </c>
      <c r="M144" s="162">
        <v>115</v>
      </c>
      <c r="N144" s="162">
        <v>265</v>
      </c>
      <c r="O144" s="162">
        <v>408</v>
      </c>
      <c r="P144" s="162">
        <v>408</v>
      </c>
      <c r="Q144" s="162">
        <v>143</v>
      </c>
      <c r="R144" s="162">
        <v>2</v>
      </c>
      <c r="S144" s="160">
        <v>0</v>
      </c>
      <c r="T144" s="160">
        <v>0</v>
      </c>
      <c r="U144" s="160">
        <v>0</v>
      </c>
      <c r="V144" s="160">
        <v>0</v>
      </c>
      <c r="W144" s="160">
        <v>0</v>
      </c>
      <c r="X144" s="160">
        <v>0</v>
      </c>
      <c r="Y144" s="160">
        <v>27.9</v>
      </c>
      <c r="Z144" s="160">
        <v>59.322222222222223</v>
      </c>
      <c r="AA144" s="160">
        <v>55.388888888888886</v>
      </c>
      <c r="AB144" s="160">
        <v>74.333333333333329</v>
      </c>
      <c r="AC144" s="160">
        <v>61.677777777777777</v>
      </c>
      <c r="AD144" s="160">
        <v>57.422222222222224</v>
      </c>
      <c r="AE144" s="160">
        <v>62.855555555555554</v>
      </c>
      <c r="AF144" s="160">
        <v>27.9</v>
      </c>
      <c r="AG144" s="160">
        <v>114.71111111111111</v>
      </c>
      <c r="AH144" s="160">
        <v>256.28888888888889</v>
      </c>
      <c r="AI144" s="160">
        <v>142.61111111111111</v>
      </c>
      <c r="AJ144" s="160">
        <v>398.90000000000003</v>
      </c>
      <c r="AK144" s="160">
        <v>398.90000000000003</v>
      </c>
      <c r="AL144" s="161">
        <v>85.222222222222229</v>
      </c>
      <c r="AM144" s="161">
        <v>1.5166666666666666</v>
      </c>
      <c r="AN144" s="161">
        <v>86.738888888888894</v>
      </c>
      <c r="AO144" s="161">
        <v>400.41666666666669</v>
      </c>
      <c r="AP144" s="162">
        <v>0</v>
      </c>
      <c r="AQ144" s="168">
        <v>0</v>
      </c>
      <c r="AR144" s="160">
        <v>0</v>
      </c>
      <c r="AS144" s="160">
        <v>0</v>
      </c>
      <c r="AT144" s="160">
        <v>0</v>
      </c>
      <c r="AU144" s="160">
        <v>0</v>
      </c>
      <c r="AV144" s="160">
        <v>24</v>
      </c>
      <c r="AW144" s="160">
        <v>47</v>
      </c>
      <c r="AX144" s="160">
        <v>68</v>
      </c>
      <c r="AY144" s="160">
        <v>57</v>
      </c>
      <c r="AZ144" s="160">
        <v>67</v>
      </c>
      <c r="BA144" s="160">
        <v>51</v>
      </c>
      <c r="BB144" s="160">
        <v>52</v>
      </c>
      <c r="BC144" s="160">
        <v>24</v>
      </c>
      <c r="BD144" s="160">
        <v>115</v>
      </c>
      <c r="BE144" s="160">
        <v>227</v>
      </c>
      <c r="BF144" s="160">
        <v>139</v>
      </c>
      <c r="BG144" s="160">
        <v>366</v>
      </c>
      <c r="BH144" s="160">
        <v>366</v>
      </c>
      <c r="BI144" s="160">
        <v>0</v>
      </c>
      <c r="BJ144" s="160">
        <v>0</v>
      </c>
      <c r="BK144" s="160">
        <v>0</v>
      </c>
      <c r="BL144" s="160">
        <v>75</v>
      </c>
      <c r="BM144" s="160">
        <v>73</v>
      </c>
      <c r="BN144" s="162">
        <v>0</v>
      </c>
      <c r="BO144" s="162">
        <v>73</v>
      </c>
      <c r="BP144" s="162">
        <v>10</v>
      </c>
      <c r="BQ144" s="163">
        <v>5.7545719993852829E-2</v>
      </c>
      <c r="BR144" s="164">
        <v>27.9</v>
      </c>
      <c r="BS144" s="164">
        <v>27.2</v>
      </c>
      <c r="BT144" s="164">
        <v>26.7</v>
      </c>
      <c r="BU144" s="164">
        <v>28.54</v>
      </c>
      <c r="BV144" s="165">
        <v>0</v>
      </c>
      <c r="BW144" s="165">
        <v>0</v>
      </c>
      <c r="BX144" s="166">
        <v>0</v>
      </c>
      <c r="BY144" s="166">
        <v>0</v>
      </c>
      <c r="BZ144" s="166">
        <v>0</v>
      </c>
      <c r="CA144" s="166">
        <v>0</v>
      </c>
      <c r="CB144" s="166">
        <v>0</v>
      </c>
      <c r="CC144" s="166">
        <v>0</v>
      </c>
      <c r="CD144" s="166">
        <v>0</v>
      </c>
      <c r="CE144" s="166">
        <v>0</v>
      </c>
      <c r="CF144" s="166">
        <v>0</v>
      </c>
      <c r="CG144" s="166">
        <v>23.338888888888889</v>
      </c>
      <c r="CH144" s="166">
        <v>45.977777777777774</v>
      </c>
      <c r="CI144" s="166">
        <v>69.277777777777771</v>
      </c>
      <c r="CJ144" s="166">
        <v>57.972222222222221</v>
      </c>
      <c r="CK144" s="166">
        <v>65.427777777777777</v>
      </c>
      <c r="CL144" s="166">
        <v>48.488888888888887</v>
      </c>
      <c r="CM144" s="166">
        <v>50.288888888888891</v>
      </c>
      <c r="CN144" s="166">
        <v>23.338888888888889</v>
      </c>
      <c r="CO144" s="166">
        <v>115.25555555555555</v>
      </c>
      <c r="CP144" s="166">
        <v>222.17777777777778</v>
      </c>
      <c r="CQ144" s="166">
        <v>138.59444444444443</v>
      </c>
      <c r="CR144" s="166">
        <v>360.77222222222218</v>
      </c>
      <c r="CS144" s="166">
        <v>360.77222222222218</v>
      </c>
      <c r="CT144" s="166">
        <v>76.738888888888894</v>
      </c>
      <c r="CU144" s="166">
        <v>0.27222222222222198</v>
      </c>
      <c r="CV144" s="166">
        <v>77.01111111111112</v>
      </c>
      <c r="CW144" s="166">
        <v>361.04444444444442</v>
      </c>
      <c r="CX144" s="166">
        <v>0</v>
      </c>
      <c r="CY144" s="166">
        <v>0</v>
      </c>
      <c r="CZ144" s="165">
        <v>0</v>
      </c>
      <c r="DA144" s="165">
        <v>0</v>
      </c>
      <c r="DB144" s="165">
        <v>0</v>
      </c>
      <c r="DC144" s="165">
        <v>0</v>
      </c>
      <c r="DD144" s="165">
        <v>0</v>
      </c>
      <c r="DE144" s="165">
        <v>0</v>
      </c>
      <c r="DF144" s="165">
        <v>0</v>
      </c>
      <c r="DG144" s="165">
        <v>32</v>
      </c>
      <c r="DH144" s="165">
        <v>49</v>
      </c>
      <c r="DI144" s="165">
        <v>47</v>
      </c>
      <c r="DJ144" s="165">
        <v>72</v>
      </c>
      <c r="DK144" s="165">
        <v>60</v>
      </c>
      <c r="DL144" s="165">
        <v>75</v>
      </c>
      <c r="DM144" s="165">
        <v>39</v>
      </c>
      <c r="DN144" s="165">
        <v>32</v>
      </c>
      <c r="DO144" s="165">
        <v>96</v>
      </c>
      <c r="DP144" s="165">
        <v>246</v>
      </c>
      <c r="DQ144" s="165">
        <v>128</v>
      </c>
      <c r="DR144" s="165">
        <v>374</v>
      </c>
      <c r="DS144" s="165">
        <v>374</v>
      </c>
      <c r="DT144" s="165">
        <v>0</v>
      </c>
      <c r="DU144" s="165">
        <v>88</v>
      </c>
      <c r="DV144" s="165">
        <v>83</v>
      </c>
      <c r="DW144" s="165">
        <v>1</v>
      </c>
      <c r="DX144" s="165">
        <v>84</v>
      </c>
      <c r="DY144" s="165">
        <v>375</v>
      </c>
      <c r="DZ144" s="165">
        <v>18</v>
      </c>
      <c r="EA144" s="166">
        <v>32.5</v>
      </c>
      <c r="EB144" s="166">
        <v>31.5</v>
      </c>
      <c r="EC144" s="166">
        <v>1.07</v>
      </c>
      <c r="ED144" s="166">
        <v>19.190000000000001</v>
      </c>
      <c r="EE144" s="166">
        <v>0</v>
      </c>
      <c r="EF144" s="166">
        <v>32.5</v>
      </c>
      <c r="EG144" s="167">
        <v>6.7727743271221552E-2</v>
      </c>
      <c r="EH144" s="165"/>
      <c r="EI144" s="165">
        <v>0</v>
      </c>
      <c r="EJ144" s="165">
        <v>372</v>
      </c>
      <c r="EK144" s="165">
        <v>26</v>
      </c>
      <c r="EL144" s="165">
        <v>104</v>
      </c>
      <c r="EM144" s="165">
        <v>242</v>
      </c>
      <c r="EN144" s="165">
        <v>372</v>
      </c>
      <c r="EO144" s="165">
        <v>0</v>
      </c>
      <c r="EP144" s="165">
        <v>95</v>
      </c>
      <c r="EQ144" s="165">
        <v>95</v>
      </c>
      <c r="ER144" s="165">
        <v>94</v>
      </c>
      <c r="ES144" s="165">
        <v>1</v>
      </c>
      <c r="ET144" s="165">
        <v>1</v>
      </c>
      <c r="EU144" s="166">
        <v>4.75</v>
      </c>
      <c r="EV144" s="166">
        <v>0</v>
      </c>
      <c r="EW144" s="166">
        <v>5</v>
      </c>
      <c r="EX144" s="166">
        <v>0</v>
      </c>
      <c r="EY144" s="166">
        <v>0.5</v>
      </c>
      <c r="EZ144" s="166">
        <v>10.25</v>
      </c>
      <c r="FA144" s="166">
        <v>0</v>
      </c>
      <c r="FB144" s="166">
        <v>0</v>
      </c>
      <c r="FC144" s="166">
        <v>0</v>
      </c>
      <c r="FD144" s="166">
        <v>0</v>
      </c>
      <c r="FE144" s="166">
        <v>0</v>
      </c>
      <c r="FF144" s="166">
        <v>0</v>
      </c>
      <c r="FG144" s="166">
        <v>0</v>
      </c>
      <c r="FH144" s="166">
        <v>0</v>
      </c>
      <c r="FI144" s="166">
        <v>33.461111111111109</v>
      </c>
      <c r="FJ144" s="166">
        <v>46.81666666666667</v>
      </c>
      <c r="FK144" s="166">
        <v>45.1</v>
      </c>
      <c r="FL144" s="166">
        <v>73.00555555555556</v>
      </c>
      <c r="FM144" s="166">
        <v>60.016666666666666</v>
      </c>
      <c r="FN144" s="166">
        <v>73.433333333333337</v>
      </c>
      <c r="FO144" s="166">
        <v>33.266666666666666</v>
      </c>
      <c r="FP144" s="166">
        <v>33.461111111111109</v>
      </c>
      <c r="FQ144" s="166">
        <v>91.916666666666671</v>
      </c>
      <c r="FR144" s="166">
        <v>239.72222222222223</v>
      </c>
      <c r="FS144" s="166">
        <v>125.37777777777777</v>
      </c>
      <c r="FT144" s="166">
        <v>365.09999999999997</v>
      </c>
      <c r="FU144" s="166">
        <v>365.09999999999997</v>
      </c>
      <c r="FV144" s="166">
        <v>91.516666666666666</v>
      </c>
      <c r="FW144" s="166">
        <v>1.0333333333333334</v>
      </c>
      <c r="FX144" s="166">
        <v>92.55</v>
      </c>
      <c r="FY144" s="166">
        <v>366.13333333333333</v>
      </c>
      <c r="FZ144" s="165">
        <v>0</v>
      </c>
      <c r="GA144" s="165">
        <v>0</v>
      </c>
      <c r="GB144" s="165">
        <v>0</v>
      </c>
      <c r="GC144" s="165">
        <v>0</v>
      </c>
      <c r="GD144" s="165">
        <v>0</v>
      </c>
      <c r="GE144" s="165">
        <v>0</v>
      </c>
      <c r="GF144" s="165">
        <v>0</v>
      </c>
      <c r="GG144" s="165">
        <v>0</v>
      </c>
      <c r="GH144" s="165">
        <v>23</v>
      </c>
      <c r="GI144" s="165">
        <v>51</v>
      </c>
      <c r="GJ144" s="165">
        <v>38</v>
      </c>
      <c r="GK144" s="165">
        <v>39</v>
      </c>
      <c r="GL144" s="165">
        <v>67</v>
      </c>
      <c r="GM144" s="165">
        <v>63</v>
      </c>
      <c r="GN144" s="165">
        <v>60</v>
      </c>
      <c r="GO144" s="165">
        <v>23</v>
      </c>
      <c r="GP144" s="165">
        <v>89</v>
      </c>
      <c r="GQ144" s="165">
        <v>229</v>
      </c>
      <c r="GR144" s="165">
        <v>112</v>
      </c>
      <c r="GS144" s="165">
        <v>341</v>
      </c>
      <c r="GT144" s="165">
        <v>341</v>
      </c>
      <c r="GU144" s="165">
        <v>0</v>
      </c>
      <c r="GV144" s="165">
        <v>75</v>
      </c>
      <c r="GW144" s="165">
        <v>91</v>
      </c>
      <c r="GX144" s="165">
        <v>2</v>
      </c>
      <c r="GY144" s="165">
        <v>93</v>
      </c>
      <c r="GZ144" s="165">
        <v>343</v>
      </c>
      <c r="HA144" s="165">
        <v>17</v>
      </c>
      <c r="HB144" s="166">
        <v>30.16</v>
      </c>
      <c r="HC144" s="166">
        <v>29.16</v>
      </c>
      <c r="HD144" s="166">
        <v>1.0799999999999998</v>
      </c>
      <c r="HE144" s="166">
        <v>19.705999999999996</v>
      </c>
      <c r="HF144" s="166"/>
      <c r="HG144" s="166">
        <v>30.16</v>
      </c>
      <c r="HH144" s="166">
        <v>0</v>
      </c>
      <c r="HI144" s="166">
        <v>96</v>
      </c>
      <c r="HJ144" s="166">
        <v>96</v>
      </c>
      <c r="HK144" s="166">
        <v>95</v>
      </c>
      <c r="HL144" s="166">
        <v>1</v>
      </c>
      <c r="HM144" s="166">
        <v>1</v>
      </c>
      <c r="HN144" s="166">
        <v>0</v>
      </c>
      <c r="HO144" s="166">
        <v>371</v>
      </c>
      <c r="HP144" s="166">
        <v>32</v>
      </c>
      <c r="HQ144" s="166">
        <v>96</v>
      </c>
      <c r="HR144" s="166">
        <v>243</v>
      </c>
      <c r="HS144" s="166">
        <v>371</v>
      </c>
      <c r="HT144" s="166">
        <f>FY26_FE_Data_April15[[#This Row],[Oct 1, 2026 (CDC) - K]]+FY26_FE_Data_April15[[#This Row],[Oct 1, 2026 (CDC) - Grades 1-6]]+FY26_FE_Data_April15[[#This Row],[Oct 1, 2026 (CDC) - Grades 7-8]]</f>
        <v>128</v>
      </c>
      <c r="HU144" s="166">
        <v>0</v>
      </c>
      <c r="HW144" s="170"/>
      <c r="HY144" s="170"/>
    </row>
    <row r="145" spans="1:233" ht="39">
      <c r="A145" s="158" t="s">
        <v>647</v>
      </c>
      <c r="B145" s="159" t="s">
        <v>648</v>
      </c>
      <c r="C145" s="171" t="s">
        <v>786</v>
      </c>
      <c r="D145" s="160" t="s">
        <v>139</v>
      </c>
      <c r="E145" s="159" t="s">
        <v>784</v>
      </c>
      <c r="F145" s="159" t="s">
        <v>784</v>
      </c>
      <c r="G145" s="159" t="s">
        <v>784</v>
      </c>
      <c r="H145" s="161">
        <v>99.5</v>
      </c>
      <c r="I145" s="161">
        <v>0.48888888888888887</v>
      </c>
      <c r="J145" s="161">
        <v>99.988888888888894</v>
      </c>
      <c r="K145" s="162">
        <v>80</v>
      </c>
      <c r="L145" s="162">
        <v>333</v>
      </c>
      <c r="M145" s="162">
        <v>37</v>
      </c>
      <c r="N145" s="162">
        <v>388</v>
      </c>
      <c r="O145" s="162">
        <v>838</v>
      </c>
      <c r="P145" s="162">
        <v>758</v>
      </c>
      <c r="Q145" s="162">
        <v>450</v>
      </c>
      <c r="R145" s="162">
        <v>0</v>
      </c>
      <c r="S145" s="160">
        <v>75.044444444444451</v>
      </c>
      <c r="T145" s="160">
        <v>67.349999999999994</v>
      </c>
      <c r="U145" s="160">
        <v>60.56666666666667</v>
      </c>
      <c r="V145" s="160">
        <v>55.81111111111111</v>
      </c>
      <c r="W145" s="160">
        <v>52.905555555555559</v>
      </c>
      <c r="X145" s="160">
        <v>41.255555555555553</v>
      </c>
      <c r="Y145" s="160">
        <v>52.56111111111111</v>
      </c>
      <c r="Z145" s="160">
        <v>22.711111111111112</v>
      </c>
      <c r="AA145" s="160">
        <v>14.122222222222222</v>
      </c>
      <c r="AB145" s="160">
        <v>109.36111111111111</v>
      </c>
      <c r="AC145" s="160">
        <v>107.41666666666667</v>
      </c>
      <c r="AD145" s="160">
        <v>89.733333333333334</v>
      </c>
      <c r="AE145" s="160">
        <v>71.083333333333329</v>
      </c>
      <c r="AF145" s="160">
        <v>330.45</v>
      </c>
      <c r="AG145" s="160">
        <v>36.833333333333336</v>
      </c>
      <c r="AH145" s="160">
        <v>377.59444444444443</v>
      </c>
      <c r="AI145" s="160">
        <v>442.32777777777778</v>
      </c>
      <c r="AJ145" s="160">
        <v>744.87777777777774</v>
      </c>
      <c r="AK145" s="160">
        <v>819.92222222222222</v>
      </c>
      <c r="AL145" s="161">
        <v>97.966666666666669</v>
      </c>
      <c r="AM145" s="161">
        <v>1.6944444444444444</v>
      </c>
      <c r="AN145" s="161">
        <v>99.661111111111111</v>
      </c>
      <c r="AO145" s="161">
        <v>821.61666666666667</v>
      </c>
      <c r="AP145" s="162">
        <v>94</v>
      </c>
      <c r="AQ145" s="168">
        <v>70</v>
      </c>
      <c r="AR145" s="160">
        <v>57</v>
      </c>
      <c r="AS145" s="160">
        <v>67</v>
      </c>
      <c r="AT145" s="160">
        <v>57</v>
      </c>
      <c r="AU145" s="160">
        <v>54</v>
      </c>
      <c r="AV145" s="160">
        <v>42</v>
      </c>
      <c r="AW145" s="160">
        <v>33</v>
      </c>
      <c r="AX145" s="160">
        <v>14</v>
      </c>
      <c r="AY145" s="160">
        <v>120</v>
      </c>
      <c r="AZ145" s="160">
        <v>115</v>
      </c>
      <c r="BA145" s="160">
        <v>96</v>
      </c>
      <c r="BB145" s="160">
        <v>85</v>
      </c>
      <c r="BC145" s="160">
        <v>347</v>
      </c>
      <c r="BD145" s="160">
        <v>47</v>
      </c>
      <c r="BE145" s="160">
        <v>416</v>
      </c>
      <c r="BF145" s="160">
        <v>488</v>
      </c>
      <c r="BG145" s="160">
        <v>810</v>
      </c>
      <c r="BH145" s="160">
        <v>904</v>
      </c>
      <c r="BI145" s="160">
        <v>86</v>
      </c>
      <c r="BJ145" s="160">
        <v>8</v>
      </c>
      <c r="BK145" s="160">
        <v>5</v>
      </c>
      <c r="BL145" s="160">
        <v>192</v>
      </c>
      <c r="BM145" s="160">
        <v>93</v>
      </c>
      <c r="BN145" s="162">
        <v>1</v>
      </c>
      <c r="BO145" s="162">
        <v>94</v>
      </c>
      <c r="BP145" s="162">
        <v>128</v>
      </c>
      <c r="BQ145" s="163">
        <v>0.13797657114746026</v>
      </c>
      <c r="BR145" s="164">
        <v>48.736000000000004</v>
      </c>
      <c r="BS145" s="164">
        <v>45.436</v>
      </c>
      <c r="BT145" s="164">
        <v>44.436</v>
      </c>
      <c r="BU145" s="164">
        <v>58.835999999999999</v>
      </c>
      <c r="BV145" s="165">
        <v>0</v>
      </c>
      <c r="BW145" s="165">
        <v>0</v>
      </c>
      <c r="BX145" s="166">
        <v>0</v>
      </c>
      <c r="BY145" s="166">
        <v>8.1</v>
      </c>
      <c r="BZ145" s="166">
        <v>83.727777000000003</v>
      </c>
      <c r="CA145" s="166">
        <v>91.827777777777783</v>
      </c>
      <c r="CB145" s="166">
        <v>75.922222222222217</v>
      </c>
      <c r="CC145" s="166">
        <v>60.111111111111114</v>
      </c>
      <c r="CD145" s="166">
        <v>69.233333333333334</v>
      </c>
      <c r="CE145" s="166">
        <v>58.605555555555554</v>
      </c>
      <c r="CF145" s="166">
        <v>55.416666666666664</v>
      </c>
      <c r="CG145" s="166">
        <v>41.072222222222223</v>
      </c>
      <c r="CH145" s="166">
        <v>35.255555555555553</v>
      </c>
      <c r="CI145" s="166">
        <v>15.366666666666667</v>
      </c>
      <c r="CJ145" s="166">
        <v>114.19444444444444</v>
      </c>
      <c r="CK145" s="166">
        <v>109.93888888888888</v>
      </c>
      <c r="CL145" s="166">
        <v>93.611111111111114</v>
      </c>
      <c r="CM145" s="166">
        <v>81.294444444444451</v>
      </c>
      <c r="CN145" s="166">
        <v>360.36111111111109</v>
      </c>
      <c r="CO145" s="166">
        <v>50.62222222222222</v>
      </c>
      <c r="CP145" s="166">
        <v>399.03888888888895</v>
      </c>
      <c r="CQ145" s="166">
        <v>502.81111111111107</v>
      </c>
      <c r="CR145" s="166">
        <v>810.02222222222224</v>
      </c>
      <c r="CS145" s="166">
        <v>901.85</v>
      </c>
      <c r="CT145" s="166">
        <v>96.227777777777803</v>
      </c>
      <c r="CU145" s="166">
        <v>1.1111111111111112</v>
      </c>
      <c r="CV145" s="166">
        <v>97.338888888888903</v>
      </c>
      <c r="CW145" s="166">
        <v>902.96111111111111</v>
      </c>
      <c r="CX145" s="166">
        <v>0</v>
      </c>
      <c r="CY145" s="166">
        <v>53</v>
      </c>
      <c r="CZ145" s="165">
        <v>10</v>
      </c>
      <c r="DA145" s="165">
        <v>63</v>
      </c>
      <c r="DB145" s="165">
        <v>69</v>
      </c>
      <c r="DC145" s="165">
        <v>75</v>
      </c>
      <c r="DD145" s="165">
        <v>55</v>
      </c>
      <c r="DE145" s="165">
        <v>61</v>
      </c>
      <c r="DF145" s="165">
        <v>52</v>
      </c>
      <c r="DG145" s="165">
        <v>42</v>
      </c>
      <c r="DH145" s="165">
        <v>18</v>
      </c>
      <c r="DI145" s="165">
        <v>23</v>
      </c>
      <c r="DJ145" s="165">
        <v>112</v>
      </c>
      <c r="DK145" s="165">
        <v>111</v>
      </c>
      <c r="DL145" s="165">
        <v>94</v>
      </c>
      <c r="DM145" s="165">
        <v>80</v>
      </c>
      <c r="DN145" s="165">
        <v>354</v>
      </c>
      <c r="DO145" s="165">
        <v>41</v>
      </c>
      <c r="DP145" s="165">
        <v>397</v>
      </c>
      <c r="DQ145" s="165">
        <v>458</v>
      </c>
      <c r="DR145" s="165">
        <v>792</v>
      </c>
      <c r="DS145" s="165">
        <v>855</v>
      </c>
      <c r="DT145" s="165">
        <v>7</v>
      </c>
      <c r="DU145" s="165">
        <v>217</v>
      </c>
      <c r="DV145" s="165">
        <v>86</v>
      </c>
      <c r="DW145" s="165">
        <v>0</v>
      </c>
      <c r="DX145" s="165">
        <v>86</v>
      </c>
      <c r="DY145" s="165">
        <v>855</v>
      </c>
      <c r="DZ145" s="165">
        <v>295</v>
      </c>
      <c r="EA145" s="166">
        <v>50.879999999999995</v>
      </c>
      <c r="EB145" s="166">
        <v>48.08</v>
      </c>
      <c r="EC145" s="166">
        <v>21.966000000000001</v>
      </c>
      <c r="ED145" s="166">
        <v>20.201999999999998</v>
      </c>
      <c r="EE145" s="166">
        <v>0</v>
      </c>
      <c r="EF145" s="166">
        <v>58.480000000000004</v>
      </c>
      <c r="EG145" s="167">
        <v>0.12282762744142789</v>
      </c>
      <c r="EH145" s="165">
        <v>0</v>
      </c>
      <c r="EI145" s="165">
        <v>91</v>
      </c>
      <c r="EJ145" s="165">
        <v>779</v>
      </c>
      <c r="EK145" s="165">
        <v>334</v>
      </c>
      <c r="EL145" s="165">
        <v>44</v>
      </c>
      <c r="EM145" s="165">
        <v>401</v>
      </c>
      <c r="EN145" s="165">
        <v>870</v>
      </c>
      <c r="EO145" s="165">
        <v>0</v>
      </c>
      <c r="EP145" s="165">
        <v>86</v>
      </c>
      <c r="EQ145" s="165">
        <v>86</v>
      </c>
      <c r="ER145" s="165">
        <v>86</v>
      </c>
      <c r="ES145" s="165">
        <v>0</v>
      </c>
      <c r="ET145" s="165">
        <v>4</v>
      </c>
      <c r="EU145" s="166">
        <v>3</v>
      </c>
      <c r="EV145" s="166">
        <v>0</v>
      </c>
      <c r="EW145" s="166">
        <v>4</v>
      </c>
      <c r="EX145" s="166">
        <v>4</v>
      </c>
      <c r="EY145" s="166">
        <v>1.5</v>
      </c>
      <c r="EZ145" s="166">
        <v>12.5</v>
      </c>
      <c r="FA145" s="166">
        <v>1.1055555555555556</v>
      </c>
      <c r="FB145" s="166">
        <v>59.077777777777776</v>
      </c>
      <c r="FC145" s="166">
        <v>60.18333333333333</v>
      </c>
      <c r="FD145" s="166">
        <v>62.65</v>
      </c>
      <c r="FE145" s="166">
        <v>76.405555555555551</v>
      </c>
      <c r="FF145" s="166">
        <v>54.405555555555559</v>
      </c>
      <c r="FG145" s="166">
        <v>56.361111111111114</v>
      </c>
      <c r="FH145" s="166">
        <v>52.572222222222223</v>
      </c>
      <c r="FI145" s="166">
        <v>43.661111111111111</v>
      </c>
      <c r="FJ145" s="166">
        <v>18.344444444444445</v>
      </c>
      <c r="FK145" s="166">
        <v>22.872222222222224</v>
      </c>
      <c r="FL145" s="166">
        <v>114.3</v>
      </c>
      <c r="FM145" s="166">
        <v>108.91111111111111</v>
      </c>
      <c r="FN145" s="166">
        <v>92.3</v>
      </c>
      <c r="FO145" s="166">
        <v>75.533333333333331</v>
      </c>
      <c r="FP145" s="166">
        <v>346.05555555555554</v>
      </c>
      <c r="FQ145" s="166">
        <v>41.216666666666669</v>
      </c>
      <c r="FR145" s="166">
        <v>391.04444444444442</v>
      </c>
      <c r="FS145" s="166">
        <v>447.45555555555552</v>
      </c>
      <c r="FT145" s="166">
        <v>778.31666666666661</v>
      </c>
      <c r="FU145" s="166">
        <v>838.5</v>
      </c>
      <c r="FV145" s="166">
        <v>80.333333333333329</v>
      </c>
      <c r="FW145" s="166">
        <v>0.6</v>
      </c>
      <c r="FX145" s="166">
        <v>80.933333333333337</v>
      </c>
      <c r="FY145" s="166">
        <v>839.09999999999991</v>
      </c>
      <c r="FZ145" s="165">
        <v>0</v>
      </c>
      <c r="GA145" s="165">
        <v>33</v>
      </c>
      <c r="GB145" s="165">
        <v>33</v>
      </c>
      <c r="GC145" s="165">
        <v>55</v>
      </c>
      <c r="GD145" s="165">
        <v>59</v>
      </c>
      <c r="GE145" s="165">
        <v>59</v>
      </c>
      <c r="GF145" s="165">
        <v>59</v>
      </c>
      <c r="GG145" s="165">
        <v>59</v>
      </c>
      <c r="GH145" s="165">
        <v>63</v>
      </c>
      <c r="GI145" s="165">
        <v>57</v>
      </c>
      <c r="GJ145" s="165">
        <v>46</v>
      </c>
      <c r="GK145" s="165">
        <v>139</v>
      </c>
      <c r="GL145" s="165">
        <v>98</v>
      </c>
      <c r="GM145" s="165">
        <v>89</v>
      </c>
      <c r="GN145" s="165">
        <v>72</v>
      </c>
      <c r="GO145" s="165">
        <v>354</v>
      </c>
      <c r="GP145" s="165">
        <v>103</v>
      </c>
      <c r="GQ145" s="165">
        <v>398</v>
      </c>
      <c r="GR145" s="165">
        <v>490</v>
      </c>
      <c r="GS145" s="165">
        <v>855</v>
      </c>
      <c r="GT145" s="165">
        <v>888</v>
      </c>
      <c r="GU145" s="165">
        <v>0</v>
      </c>
      <c r="GV145" s="165">
        <v>225</v>
      </c>
      <c r="GW145" s="165">
        <v>83</v>
      </c>
      <c r="GX145" s="165">
        <v>0</v>
      </c>
      <c r="GY145" s="165">
        <v>83</v>
      </c>
      <c r="GZ145" s="165">
        <v>888</v>
      </c>
      <c r="HA145" s="165">
        <v>297</v>
      </c>
      <c r="HB145" s="166">
        <v>56.253</v>
      </c>
      <c r="HC145" s="166">
        <v>51.753</v>
      </c>
      <c r="HD145" s="166">
        <v>18.990000000000002</v>
      </c>
      <c r="HE145" s="166">
        <v>24.173000000000005</v>
      </c>
      <c r="HF145" s="166"/>
      <c r="HG145" s="166">
        <v>61.753</v>
      </c>
      <c r="HH145" s="166">
        <v>0</v>
      </c>
      <c r="HI145" s="166">
        <v>87</v>
      </c>
      <c r="HJ145" s="166">
        <v>87</v>
      </c>
      <c r="HK145" s="166">
        <v>86</v>
      </c>
      <c r="HL145" s="166">
        <v>1</v>
      </c>
      <c r="HM145" s="166">
        <v>2</v>
      </c>
      <c r="HN145" s="166">
        <v>72</v>
      </c>
      <c r="HO145" s="166">
        <v>867</v>
      </c>
      <c r="HP145" s="166">
        <v>432</v>
      </c>
      <c r="HQ145" s="166">
        <v>144</v>
      </c>
      <c r="HR145" s="166">
        <v>291</v>
      </c>
      <c r="HS145" s="166">
        <v>939</v>
      </c>
      <c r="HT145" s="166">
        <f>FY26_FE_Data_April15[[#This Row],[Oct 1, 2026 (CDC) - K]]+FY26_FE_Data_April15[[#This Row],[Oct 1, 2026 (CDC) - Grades 1-6]]+FY26_FE_Data_April15[[#This Row],[Oct 1, 2026 (CDC) - Grades 7-8]]</f>
        <v>648</v>
      </c>
      <c r="HU145" s="166">
        <v>0</v>
      </c>
      <c r="HW145" s="170"/>
      <c r="HY145" s="170"/>
    </row>
    <row r="146" spans="1:233">
      <c r="A146" s="158" t="s">
        <v>649</v>
      </c>
      <c r="B146" s="158" t="s">
        <v>650</v>
      </c>
      <c r="C146" s="157" t="s">
        <v>651</v>
      </c>
      <c r="D146" s="157" t="s">
        <v>139</v>
      </c>
      <c r="E146" s="159" t="s">
        <v>784</v>
      </c>
      <c r="F146" s="159" t="s">
        <v>784</v>
      </c>
      <c r="G146" s="159"/>
      <c r="H146" s="161">
        <v>0</v>
      </c>
      <c r="I146" s="161">
        <v>0</v>
      </c>
      <c r="J146" s="161">
        <v>0</v>
      </c>
      <c r="K146" s="162">
        <v>0</v>
      </c>
      <c r="L146" s="162">
        <v>0</v>
      </c>
      <c r="M146" s="162">
        <v>0</v>
      </c>
      <c r="N146" s="162">
        <v>0</v>
      </c>
      <c r="O146" s="162">
        <v>0</v>
      </c>
      <c r="P146" s="162">
        <v>0</v>
      </c>
      <c r="Q146" s="162">
        <v>0</v>
      </c>
      <c r="R146" s="162">
        <v>0</v>
      </c>
      <c r="S146" s="157">
        <v>0</v>
      </c>
      <c r="T146" s="157">
        <v>0</v>
      </c>
      <c r="U146" s="157">
        <v>0</v>
      </c>
      <c r="V146" s="157">
        <v>0</v>
      </c>
      <c r="W146" s="157">
        <v>0</v>
      </c>
      <c r="X146" s="157">
        <v>0</v>
      </c>
      <c r="Y146" s="157">
        <v>0</v>
      </c>
      <c r="Z146" s="157">
        <v>0</v>
      </c>
      <c r="AA146" s="157">
        <v>0</v>
      </c>
      <c r="AB146" s="157">
        <v>0</v>
      </c>
      <c r="AC146" s="157">
        <v>0</v>
      </c>
      <c r="AD146" s="157">
        <v>0</v>
      </c>
      <c r="AE146" s="157">
        <v>0</v>
      </c>
      <c r="AF146" s="157">
        <v>0</v>
      </c>
      <c r="AG146" s="157">
        <v>0</v>
      </c>
      <c r="AH146" s="157">
        <v>0</v>
      </c>
      <c r="AI146" s="157">
        <v>0</v>
      </c>
      <c r="AJ146" s="157">
        <v>0</v>
      </c>
      <c r="AK146" s="157">
        <v>0</v>
      </c>
      <c r="AL146" s="161">
        <v>0</v>
      </c>
      <c r="AM146" s="161">
        <v>0</v>
      </c>
      <c r="AN146" s="161">
        <v>0</v>
      </c>
      <c r="AO146" s="161">
        <v>0</v>
      </c>
      <c r="AP146" s="183">
        <v>0</v>
      </c>
      <c r="AQ146" s="184">
        <v>0</v>
      </c>
      <c r="AR146" s="157">
        <v>0</v>
      </c>
      <c r="AS146" s="157">
        <v>0</v>
      </c>
      <c r="AT146" s="157">
        <v>0</v>
      </c>
      <c r="AU146" s="157">
        <v>0</v>
      </c>
      <c r="AV146" s="157">
        <v>0</v>
      </c>
      <c r="AW146" s="157">
        <v>0</v>
      </c>
      <c r="AX146" s="157">
        <v>0</v>
      </c>
      <c r="AY146" s="157">
        <v>0</v>
      </c>
      <c r="AZ146" s="157">
        <v>0</v>
      </c>
      <c r="BA146" s="157">
        <v>0</v>
      </c>
      <c r="BB146" s="157">
        <v>0</v>
      </c>
      <c r="BC146" s="157">
        <v>0</v>
      </c>
      <c r="BD146" s="157">
        <v>0</v>
      </c>
      <c r="BE146" s="157">
        <v>0</v>
      </c>
      <c r="BF146" s="157">
        <v>0</v>
      </c>
      <c r="BG146" s="157">
        <v>0</v>
      </c>
      <c r="BH146" s="157">
        <v>0</v>
      </c>
      <c r="BI146" s="157">
        <v>0</v>
      </c>
      <c r="BJ146" s="157">
        <v>0</v>
      </c>
      <c r="BK146" s="157">
        <v>0</v>
      </c>
      <c r="BL146" s="160">
        <v>0</v>
      </c>
      <c r="BM146" s="157">
        <v>0</v>
      </c>
      <c r="BN146" s="162">
        <v>0</v>
      </c>
      <c r="BO146" s="162">
        <v>0</v>
      </c>
      <c r="BP146" s="162">
        <v>0</v>
      </c>
      <c r="BQ146" s="163">
        <v>0</v>
      </c>
      <c r="BR146" s="164">
        <v>0</v>
      </c>
      <c r="BS146" s="164">
        <v>0</v>
      </c>
      <c r="BT146" s="164">
        <v>0</v>
      </c>
      <c r="BU146" s="164">
        <v>0</v>
      </c>
      <c r="BV146" s="165">
        <v>0</v>
      </c>
      <c r="BW146" s="165">
        <v>0</v>
      </c>
      <c r="BX146" s="166">
        <v>0</v>
      </c>
      <c r="BY146" s="166">
        <v>0</v>
      </c>
      <c r="BZ146" s="166">
        <v>0</v>
      </c>
      <c r="CA146" s="166">
        <v>0</v>
      </c>
      <c r="CB146" s="166">
        <v>0</v>
      </c>
      <c r="CC146" s="166">
        <v>0</v>
      </c>
      <c r="CD146" s="166">
        <v>0</v>
      </c>
      <c r="CE146" s="166">
        <v>0</v>
      </c>
      <c r="CF146" s="166">
        <v>0</v>
      </c>
      <c r="CG146" s="166">
        <v>0</v>
      </c>
      <c r="CH146" s="166">
        <v>0</v>
      </c>
      <c r="CI146" s="166">
        <v>0</v>
      </c>
      <c r="CJ146" s="166">
        <v>0</v>
      </c>
      <c r="CK146" s="166">
        <v>0</v>
      </c>
      <c r="CL146" s="166">
        <v>0</v>
      </c>
      <c r="CM146" s="166">
        <v>0</v>
      </c>
      <c r="CN146" s="166">
        <v>0</v>
      </c>
      <c r="CO146" s="166">
        <v>0</v>
      </c>
      <c r="CP146" s="166">
        <v>0</v>
      </c>
      <c r="CQ146" s="166">
        <v>0</v>
      </c>
      <c r="CR146" s="166">
        <v>0</v>
      </c>
      <c r="CS146" s="166">
        <v>0</v>
      </c>
      <c r="CT146" s="166">
        <v>0</v>
      </c>
      <c r="CU146" s="166">
        <v>0</v>
      </c>
      <c r="CV146" s="166">
        <v>0</v>
      </c>
      <c r="CW146" s="166">
        <v>0</v>
      </c>
      <c r="CX146" s="166">
        <v>0</v>
      </c>
      <c r="CY146" s="166">
        <v>33</v>
      </c>
      <c r="CZ146" s="165">
        <v>0</v>
      </c>
      <c r="DA146" s="165">
        <v>33</v>
      </c>
      <c r="DB146" s="165">
        <v>38</v>
      </c>
      <c r="DC146" s="165">
        <v>37</v>
      </c>
      <c r="DD146" s="165">
        <v>31</v>
      </c>
      <c r="DE146" s="165">
        <v>36</v>
      </c>
      <c r="DF146" s="165">
        <v>30</v>
      </c>
      <c r="DG146" s="165">
        <v>29</v>
      </c>
      <c r="DH146" s="165">
        <v>0</v>
      </c>
      <c r="DI146" s="165">
        <v>0</v>
      </c>
      <c r="DJ146" s="165">
        <v>0</v>
      </c>
      <c r="DK146" s="165">
        <v>0</v>
      </c>
      <c r="DL146" s="165">
        <v>0</v>
      </c>
      <c r="DM146" s="165">
        <v>0</v>
      </c>
      <c r="DN146" s="165">
        <v>201</v>
      </c>
      <c r="DO146" s="165">
        <v>0</v>
      </c>
      <c r="DP146" s="165">
        <v>0</v>
      </c>
      <c r="DQ146" s="165">
        <v>234</v>
      </c>
      <c r="DR146" s="165">
        <v>201</v>
      </c>
      <c r="DS146" s="165">
        <v>234</v>
      </c>
      <c r="DT146" s="165">
        <v>0</v>
      </c>
      <c r="DU146" s="165">
        <v>0</v>
      </c>
      <c r="DV146" s="165">
        <v>15</v>
      </c>
      <c r="DW146" s="165">
        <v>1</v>
      </c>
      <c r="DX146" s="165">
        <v>16</v>
      </c>
      <c r="DY146" s="165">
        <v>235</v>
      </c>
      <c r="DZ146" s="165">
        <v>0</v>
      </c>
      <c r="EA146" s="166">
        <v>12.75</v>
      </c>
      <c r="EB146" s="166">
        <v>12.75</v>
      </c>
      <c r="EC146" s="166">
        <v>12.75</v>
      </c>
      <c r="ED146" s="166">
        <v>0</v>
      </c>
      <c r="EE146" s="166">
        <v>0</v>
      </c>
      <c r="EF146" s="166">
        <v>12.75</v>
      </c>
      <c r="EG146" s="167">
        <v>0</v>
      </c>
      <c r="EH146" s="165"/>
      <c r="EI146" s="185">
        <v>33</v>
      </c>
      <c r="EJ146" s="185">
        <v>417</v>
      </c>
      <c r="EK146" s="185">
        <v>339</v>
      </c>
      <c r="EL146" s="185">
        <v>63</v>
      </c>
      <c r="EM146" s="185">
        <v>15</v>
      </c>
      <c r="EN146" s="185">
        <v>450</v>
      </c>
      <c r="EO146" s="165">
        <v>0</v>
      </c>
      <c r="EP146" s="165">
        <v>19</v>
      </c>
      <c r="EQ146" s="165">
        <v>19</v>
      </c>
      <c r="ER146" s="165">
        <v>17</v>
      </c>
      <c r="ES146" s="165">
        <v>2</v>
      </c>
      <c r="ET146" s="165">
        <v>0</v>
      </c>
      <c r="EU146" s="166">
        <v>0</v>
      </c>
      <c r="EV146" s="166">
        <v>0</v>
      </c>
      <c r="EW146" s="166">
        <v>0</v>
      </c>
      <c r="EX146" s="166">
        <v>0</v>
      </c>
      <c r="EY146" s="166">
        <v>0</v>
      </c>
      <c r="EZ146" s="166">
        <v>0</v>
      </c>
      <c r="FA146" s="166">
        <v>0</v>
      </c>
      <c r="FB146" s="166">
        <v>34.411111111111111</v>
      </c>
      <c r="FC146" s="166">
        <v>34.411111111111111</v>
      </c>
      <c r="FD146" s="166">
        <v>37.111111111111114</v>
      </c>
      <c r="FE146" s="166">
        <v>36.68888888888889</v>
      </c>
      <c r="FF146" s="166">
        <v>29.305555555555557</v>
      </c>
      <c r="FG146" s="166">
        <v>33.966666666666669</v>
      </c>
      <c r="FH146" s="166">
        <v>28.43888888888889</v>
      </c>
      <c r="FI146" s="166">
        <v>27.966666666666665</v>
      </c>
      <c r="FJ146" s="166">
        <v>0</v>
      </c>
      <c r="FK146" s="166">
        <v>0</v>
      </c>
      <c r="FL146" s="166">
        <v>0</v>
      </c>
      <c r="FM146" s="166">
        <v>0</v>
      </c>
      <c r="FN146" s="166">
        <v>0</v>
      </c>
      <c r="FO146" s="166">
        <v>0</v>
      </c>
      <c r="FP146" s="166">
        <v>193.47777777777782</v>
      </c>
      <c r="FQ146" s="165">
        <v>0</v>
      </c>
      <c r="FR146" s="166">
        <v>0</v>
      </c>
      <c r="FS146" s="166">
        <v>227.88888888888889</v>
      </c>
      <c r="FT146" s="166">
        <v>193.47777777777782</v>
      </c>
      <c r="FU146" s="166">
        <v>227.88888888888889</v>
      </c>
      <c r="FV146" s="166">
        <v>16.505555555555556</v>
      </c>
      <c r="FW146" s="166">
        <v>1</v>
      </c>
      <c r="FX146" s="166">
        <v>17.505555555555556</v>
      </c>
      <c r="FY146" s="166">
        <v>228.88888888888889</v>
      </c>
      <c r="FZ146" s="165">
        <v>0</v>
      </c>
      <c r="GA146" s="165">
        <v>34</v>
      </c>
      <c r="GB146" s="165">
        <v>34</v>
      </c>
      <c r="GC146" s="165">
        <v>44</v>
      </c>
      <c r="GD146" s="165">
        <v>41</v>
      </c>
      <c r="GE146" s="165">
        <v>53</v>
      </c>
      <c r="GF146" s="165">
        <v>42</v>
      </c>
      <c r="GG146" s="165">
        <v>41</v>
      </c>
      <c r="GH146" s="165">
        <v>50</v>
      </c>
      <c r="GI146" s="165">
        <v>43</v>
      </c>
      <c r="GJ146" s="165">
        <v>19</v>
      </c>
      <c r="GK146" s="165">
        <v>19</v>
      </c>
      <c r="GL146" s="165">
        <v>0</v>
      </c>
      <c r="GM146" s="165">
        <v>0</v>
      </c>
      <c r="GN146" s="165">
        <v>0</v>
      </c>
      <c r="GO146" s="165">
        <v>271</v>
      </c>
      <c r="GP146" s="165">
        <v>62</v>
      </c>
      <c r="GQ146" s="165">
        <v>19</v>
      </c>
      <c r="GR146" s="165">
        <v>367</v>
      </c>
      <c r="GS146" s="165">
        <v>352</v>
      </c>
      <c r="GT146" s="165">
        <v>386</v>
      </c>
      <c r="GU146" s="165">
        <v>0</v>
      </c>
      <c r="GV146" s="165">
        <v>1</v>
      </c>
      <c r="GW146" s="165">
        <v>41</v>
      </c>
      <c r="GX146" s="165">
        <v>0</v>
      </c>
      <c r="GY146" s="165">
        <v>41</v>
      </c>
      <c r="GZ146" s="165">
        <v>386</v>
      </c>
      <c r="HA146" s="165">
        <v>0</v>
      </c>
      <c r="HB146" s="166">
        <v>31.189</v>
      </c>
      <c r="HC146" s="166">
        <v>30.239000000000001</v>
      </c>
      <c r="HD146" s="166">
        <v>18.390999999999998</v>
      </c>
      <c r="HE146" s="166">
        <v>6.0529999999999999</v>
      </c>
      <c r="HF146" s="166"/>
      <c r="HG146" s="166">
        <v>32.189</v>
      </c>
      <c r="HH146" s="166">
        <v>0</v>
      </c>
      <c r="HI146" s="166">
        <v>48</v>
      </c>
      <c r="HJ146" s="166">
        <v>48</v>
      </c>
      <c r="HK146" s="166">
        <v>48</v>
      </c>
      <c r="HL146" s="166">
        <v>0</v>
      </c>
      <c r="HM146" s="166">
        <v>0</v>
      </c>
      <c r="HN146" s="166">
        <v>32</v>
      </c>
      <c r="HO146" s="166">
        <v>354</v>
      </c>
      <c r="HP146" s="166">
        <v>189</v>
      </c>
      <c r="HQ146" s="166">
        <v>54</v>
      </c>
      <c r="HR146" s="166">
        <v>111</v>
      </c>
      <c r="HS146" s="166">
        <v>386</v>
      </c>
      <c r="HT146" s="166">
        <f>FY26_FE_Data_April15[[#This Row],[Oct 1, 2026 (CDC) - K]]+FY26_FE_Data_April15[[#This Row],[Oct 1, 2026 (CDC) - Grades 1-6]]+FY26_FE_Data_April15[[#This Row],[Oct 1, 2026 (CDC) - Grades 7-8]]</f>
        <v>275</v>
      </c>
      <c r="HU146" s="166">
        <v>169.8</v>
      </c>
      <c r="HW146" s="170"/>
      <c r="HY146" s="170"/>
    </row>
    <row r="147" spans="1:233" ht="39">
      <c r="A147" s="158" t="s">
        <v>652</v>
      </c>
      <c r="B147" s="159" t="s">
        <v>653</v>
      </c>
      <c r="C147" s="160" t="s">
        <v>654</v>
      </c>
      <c r="D147" s="160" t="s">
        <v>139</v>
      </c>
      <c r="E147" s="159" t="s">
        <v>784</v>
      </c>
      <c r="F147" s="159" t="s">
        <v>784</v>
      </c>
      <c r="G147" s="159"/>
      <c r="H147" s="161">
        <v>56.033333333333331</v>
      </c>
      <c r="I147" s="161">
        <v>6.9555555555555557</v>
      </c>
      <c r="J147" s="161">
        <v>62.988888888888887</v>
      </c>
      <c r="K147" s="162">
        <v>46</v>
      </c>
      <c r="L147" s="162">
        <v>324</v>
      </c>
      <c r="M147" s="162">
        <v>41</v>
      </c>
      <c r="N147" s="162">
        <v>0</v>
      </c>
      <c r="O147" s="162">
        <v>411</v>
      </c>
      <c r="P147" s="162">
        <v>365</v>
      </c>
      <c r="Q147" s="162">
        <v>411</v>
      </c>
      <c r="R147" s="162">
        <v>7</v>
      </c>
      <c r="S147" s="160">
        <v>46</v>
      </c>
      <c r="T147" s="160">
        <v>55.87777777777778</v>
      </c>
      <c r="U147" s="160">
        <v>67.24444444444444</v>
      </c>
      <c r="V147" s="160">
        <v>67.572222222222223</v>
      </c>
      <c r="W147" s="160">
        <v>44.37777777777778</v>
      </c>
      <c r="X147" s="160">
        <v>47</v>
      </c>
      <c r="Y147" s="160">
        <v>31.566666666666666</v>
      </c>
      <c r="Z147" s="160">
        <v>24.411111111111111</v>
      </c>
      <c r="AA147" s="160">
        <v>15</v>
      </c>
      <c r="AB147" s="160">
        <v>0</v>
      </c>
      <c r="AC147" s="160">
        <v>0</v>
      </c>
      <c r="AD147" s="160">
        <v>0</v>
      </c>
      <c r="AE147" s="160">
        <v>0</v>
      </c>
      <c r="AF147" s="160">
        <v>313.63888888888891</v>
      </c>
      <c r="AG147" s="160">
        <v>39.411111111111111</v>
      </c>
      <c r="AH147" s="160">
        <v>0</v>
      </c>
      <c r="AI147" s="160">
        <v>399.04999999999995</v>
      </c>
      <c r="AJ147" s="160">
        <v>353.05</v>
      </c>
      <c r="AK147" s="160">
        <v>399.04999999999995</v>
      </c>
      <c r="AL147" s="161">
        <v>54.922222222222224</v>
      </c>
      <c r="AM147" s="161">
        <v>5.3722222222222218</v>
      </c>
      <c r="AN147" s="161">
        <v>60.294444444444444</v>
      </c>
      <c r="AO147" s="161">
        <v>404.42222222222216</v>
      </c>
      <c r="AP147" s="162">
        <v>45</v>
      </c>
      <c r="AQ147" s="168">
        <v>51</v>
      </c>
      <c r="AR147" s="160">
        <v>55</v>
      </c>
      <c r="AS147" s="160">
        <v>65</v>
      </c>
      <c r="AT147" s="160">
        <v>64</v>
      </c>
      <c r="AU147" s="160">
        <v>40</v>
      </c>
      <c r="AV147" s="160">
        <v>40</v>
      </c>
      <c r="AW147" s="160">
        <v>23</v>
      </c>
      <c r="AX147" s="160">
        <v>23</v>
      </c>
      <c r="AY147" s="160">
        <v>0</v>
      </c>
      <c r="AZ147" s="160">
        <v>0</v>
      </c>
      <c r="BA147" s="160">
        <v>0</v>
      </c>
      <c r="BB147" s="160">
        <v>0</v>
      </c>
      <c r="BC147" s="160">
        <v>315</v>
      </c>
      <c r="BD147" s="160">
        <v>46</v>
      </c>
      <c r="BE147" s="160">
        <v>0</v>
      </c>
      <c r="BF147" s="160">
        <v>406</v>
      </c>
      <c r="BG147" s="160">
        <v>361</v>
      </c>
      <c r="BH147" s="160">
        <v>406</v>
      </c>
      <c r="BI147" s="160">
        <v>0</v>
      </c>
      <c r="BJ147" s="160">
        <v>45</v>
      </c>
      <c r="BK147" s="160">
        <v>0</v>
      </c>
      <c r="BL147" s="160">
        <v>33</v>
      </c>
      <c r="BM147" s="160">
        <v>54</v>
      </c>
      <c r="BN147" s="162">
        <v>4</v>
      </c>
      <c r="BO147" s="162">
        <v>58</v>
      </c>
      <c r="BP147" s="162">
        <v>4</v>
      </c>
      <c r="BQ147" s="163">
        <v>7.086291038154402E-2</v>
      </c>
      <c r="BR147" s="164">
        <v>30.916</v>
      </c>
      <c r="BS147" s="164">
        <v>29.916</v>
      </c>
      <c r="BT147" s="164">
        <v>28.491</v>
      </c>
      <c r="BU147" s="164">
        <v>30.541</v>
      </c>
      <c r="BV147" s="165">
        <v>0</v>
      </c>
      <c r="BW147" s="165">
        <v>0</v>
      </c>
      <c r="BX147" s="166">
        <v>0</v>
      </c>
      <c r="BY147" s="166">
        <v>43.388888000000001</v>
      </c>
      <c r="BZ147" s="166">
        <v>0</v>
      </c>
      <c r="CA147" s="166">
        <v>43.388888888888886</v>
      </c>
      <c r="CB147" s="166">
        <v>51</v>
      </c>
      <c r="CC147" s="166">
        <v>53.18333333333333</v>
      </c>
      <c r="CD147" s="166">
        <v>62.794444444444444</v>
      </c>
      <c r="CE147" s="166">
        <v>63.4</v>
      </c>
      <c r="CF147" s="166">
        <v>38.68888888888889</v>
      </c>
      <c r="CG147" s="166">
        <v>39.572222222222223</v>
      </c>
      <c r="CH147" s="166">
        <v>22.977777777777778</v>
      </c>
      <c r="CI147" s="166">
        <v>22</v>
      </c>
      <c r="CJ147" s="166">
        <v>0</v>
      </c>
      <c r="CK147" s="166">
        <v>0</v>
      </c>
      <c r="CL147" s="166">
        <v>0</v>
      </c>
      <c r="CM147" s="166">
        <v>0</v>
      </c>
      <c r="CN147" s="166">
        <v>308.63888888888891</v>
      </c>
      <c r="CO147" s="166">
        <v>44.977777777777774</v>
      </c>
      <c r="CP147" s="166">
        <v>0</v>
      </c>
      <c r="CQ147" s="166">
        <v>397.00555555555547</v>
      </c>
      <c r="CR147" s="166">
        <v>353.61666666666667</v>
      </c>
      <c r="CS147" s="166">
        <v>397.00555555555547</v>
      </c>
      <c r="CT147" s="166">
        <v>57</v>
      </c>
      <c r="CU147" s="166">
        <v>2.9444444444444402</v>
      </c>
      <c r="CV147" s="166">
        <v>59.944444444444443</v>
      </c>
      <c r="CW147" s="166">
        <v>399.94999999999993</v>
      </c>
      <c r="CX147" s="166">
        <v>0</v>
      </c>
      <c r="CY147" s="166">
        <v>22</v>
      </c>
      <c r="CZ147" s="165">
        <v>17</v>
      </c>
      <c r="DA147" s="165">
        <v>39</v>
      </c>
      <c r="DB147" s="165">
        <v>39</v>
      </c>
      <c r="DC147" s="165">
        <v>56</v>
      </c>
      <c r="DD147" s="165">
        <v>52</v>
      </c>
      <c r="DE147" s="165">
        <v>58</v>
      </c>
      <c r="DF147" s="165">
        <v>54</v>
      </c>
      <c r="DG147" s="165">
        <v>34</v>
      </c>
      <c r="DH147" s="165">
        <v>24</v>
      </c>
      <c r="DI147" s="165">
        <v>19</v>
      </c>
      <c r="DJ147" s="165">
        <v>0</v>
      </c>
      <c r="DK147" s="165">
        <v>0</v>
      </c>
      <c r="DL147" s="165">
        <v>0</v>
      </c>
      <c r="DM147" s="165">
        <v>0</v>
      </c>
      <c r="DN147" s="165">
        <v>293</v>
      </c>
      <c r="DO147" s="165">
        <v>43</v>
      </c>
      <c r="DP147" s="165">
        <v>0</v>
      </c>
      <c r="DQ147" s="165">
        <v>375</v>
      </c>
      <c r="DR147" s="165">
        <v>336</v>
      </c>
      <c r="DS147" s="165">
        <v>375</v>
      </c>
      <c r="DT147" s="165">
        <v>0</v>
      </c>
      <c r="DU147" s="165">
        <v>4</v>
      </c>
      <c r="DV147" s="165">
        <v>64</v>
      </c>
      <c r="DW147" s="165">
        <v>0</v>
      </c>
      <c r="DX147" s="165">
        <v>64</v>
      </c>
      <c r="DY147" s="165">
        <v>375</v>
      </c>
      <c r="DZ147" s="165">
        <v>5</v>
      </c>
      <c r="EA147" s="166">
        <v>29.916</v>
      </c>
      <c r="EB147" s="166">
        <v>28.916</v>
      </c>
      <c r="EC147" s="166">
        <v>19.23</v>
      </c>
      <c r="ED147" s="166">
        <v>5.3200000000000012</v>
      </c>
      <c r="EE147" s="166">
        <v>0</v>
      </c>
      <c r="EF147" s="166">
        <v>30.916000000000004</v>
      </c>
      <c r="EG147" s="167">
        <v>7.6292501362769216E-2</v>
      </c>
      <c r="EH147" s="165"/>
      <c r="EI147" s="165">
        <v>47</v>
      </c>
      <c r="EJ147" s="165">
        <v>333</v>
      </c>
      <c r="EK147" s="165">
        <v>290</v>
      </c>
      <c r="EL147" s="165">
        <v>43</v>
      </c>
      <c r="EM147" s="165">
        <v>0</v>
      </c>
      <c r="EN147" s="165">
        <v>380</v>
      </c>
      <c r="EO147" s="165">
        <v>0</v>
      </c>
      <c r="EP147" s="165">
        <v>71</v>
      </c>
      <c r="EQ147" s="165">
        <v>71</v>
      </c>
      <c r="ER147" s="165">
        <v>71</v>
      </c>
      <c r="ES147" s="165">
        <v>0</v>
      </c>
      <c r="ET147" s="165">
        <v>3</v>
      </c>
      <c r="EU147" s="166">
        <v>16.41</v>
      </c>
      <c r="EV147" s="166">
        <v>0</v>
      </c>
      <c r="EW147" s="166">
        <v>3.18</v>
      </c>
      <c r="EX147" s="166">
        <v>0</v>
      </c>
      <c r="EY147" s="166">
        <v>3.56</v>
      </c>
      <c r="EZ147" s="166">
        <v>23.15</v>
      </c>
      <c r="FA147" s="166">
        <v>7</v>
      </c>
      <c r="FB147" s="166">
        <v>31.288888888888888</v>
      </c>
      <c r="FC147" s="166">
        <v>38.288888888888891</v>
      </c>
      <c r="FD147" s="166">
        <v>36.866666666666667</v>
      </c>
      <c r="FE147" s="166">
        <v>54.68333333333333</v>
      </c>
      <c r="FF147" s="166">
        <v>50.15</v>
      </c>
      <c r="FG147" s="166">
        <v>57.422222222222224</v>
      </c>
      <c r="FH147" s="166">
        <v>53.422222222222224</v>
      </c>
      <c r="FI147" s="166">
        <v>33.172222222222224</v>
      </c>
      <c r="FJ147" s="166">
        <v>23.227777777777778</v>
      </c>
      <c r="FK147" s="166">
        <v>19</v>
      </c>
      <c r="FL147" s="166">
        <v>0</v>
      </c>
      <c r="FM147" s="166">
        <v>0</v>
      </c>
      <c r="FN147" s="166">
        <v>0</v>
      </c>
      <c r="FO147" s="166">
        <v>0</v>
      </c>
      <c r="FP147" s="166">
        <v>285.71666666666664</v>
      </c>
      <c r="FQ147" s="166">
        <v>42.227777777777774</v>
      </c>
      <c r="FR147" s="166">
        <v>0</v>
      </c>
      <c r="FS147" s="166">
        <v>366.23333333333335</v>
      </c>
      <c r="FT147" s="166">
        <v>327.9444444444444</v>
      </c>
      <c r="FU147" s="166">
        <v>366.23333333333335</v>
      </c>
      <c r="FV147" s="166">
        <v>68.716666666666669</v>
      </c>
      <c r="FW147" s="166">
        <v>0</v>
      </c>
      <c r="FX147" s="166">
        <v>68.716666666666669</v>
      </c>
      <c r="FY147" s="166">
        <v>366.23333333333335</v>
      </c>
      <c r="FZ147" s="165">
        <v>11</v>
      </c>
      <c r="GA147" s="165">
        <v>37</v>
      </c>
      <c r="GB147" s="165">
        <v>48</v>
      </c>
      <c r="GC147" s="165">
        <v>36</v>
      </c>
      <c r="GD147" s="165">
        <v>35</v>
      </c>
      <c r="GE147" s="165">
        <v>48</v>
      </c>
      <c r="GF147" s="165">
        <v>49</v>
      </c>
      <c r="GG147" s="165">
        <v>55</v>
      </c>
      <c r="GH147" s="165">
        <v>52</v>
      </c>
      <c r="GI147" s="165">
        <v>23</v>
      </c>
      <c r="GJ147" s="165">
        <v>22</v>
      </c>
      <c r="GK147" s="165">
        <v>0</v>
      </c>
      <c r="GL147" s="165">
        <v>0</v>
      </c>
      <c r="GM147" s="165">
        <v>0</v>
      </c>
      <c r="GN147" s="165">
        <v>0</v>
      </c>
      <c r="GO147" s="165">
        <v>275</v>
      </c>
      <c r="GP147" s="165">
        <v>45</v>
      </c>
      <c r="GQ147" s="165">
        <v>0</v>
      </c>
      <c r="GR147" s="165">
        <v>368</v>
      </c>
      <c r="GS147" s="165">
        <v>320</v>
      </c>
      <c r="GT147" s="165">
        <v>368</v>
      </c>
      <c r="GU147" s="165">
        <v>0</v>
      </c>
      <c r="GV147" s="165">
        <v>3</v>
      </c>
      <c r="GW147" s="165">
        <v>73</v>
      </c>
      <c r="GX147" s="165">
        <v>0</v>
      </c>
      <c r="GY147" s="165">
        <v>73</v>
      </c>
      <c r="GZ147" s="165">
        <v>368</v>
      </c>
      <c r="HA147" s="165">
        <v>3</v>
      </c>
      <c r="HB147" s="166">
        <v>29.715999999999998</v>
      </c>
      <c r="HC147" s="166">
        <v>28.715999999999998</v>
      </c>
      <c r="HD147" s="166">
        <v>18.73</v>
      </c>
      <c r="HE147" s="166">
        <v>5.3200000000000012</v>
      </c>
      <c r="HF147" s="166"/>
      <c r="HG147" s="166">
        <v>32.716000000000001</v>
      </c>
      <c r="HH147" s="166">
        <v>0</v>
      </c>
      <c r="HI147" s="166">
        <v>75</v>
      </c>
      <c r="HJ147" s="166">
        <v>75</v>
      </c>
      <c r="HK147" s="166">
        <v>75</v>
      </c>
      <c r="HL147" s="166">
        <v>0</v>
      </c>
      <c r="HM147" s="166">
        <v>7</v>
      </c>
      <c r="HN147" s="166">
        <v>39</v>
      </c>
      <c r="HO147" s="166">
        <v>336</v>
      </c>
      <c r="HP147" s="166">
        <v>293</v>
      </c>
      <c r="HQ147" s="166">
        <v>43</v>
      </c>
      <c r="HR147" s="166">
        <v>0</v>
      </c>
      <c r="HS147" s="166">
        <v>375</v>
      </c>
      <c r="HT147" s="166">
        <f>FY26_FE_Data_April15[[#This Row],[Oct 1, 2026 (CDC) - K]]+FY26_FE_Data_April15[[#This Row],[Oct 1, 2026 (CDC) - Grades 1-6]]+FY26_FE_Data_April15[[#This Row],[Oct 1, 2026 (CDC) - Grades 7-8]]</f>
        <v>375</v>
      </c>
      <c r="HU147" s="166">
        <v>0</v>
      </c>
      <c r="HW147" s="170"/>
      <c r="HY147" s="170"/>
    </row>
    <row r="148" spans="1:233" ht="26">
      <c r="A148" s="158" t="s">
        <v>655</v>
      </c>
      <c r="B148" s="159" t="s">
        <v>656</v>
      </c>
      <c r="C148" s="160" t="s">
        <v>657</v>
      </c>
      <c r="D148" s="160" t="s">
        <v>139</v>
      </c>
      <c r="E148" s="159" t="s">
        <v>784</v>
      </c>
      <c r="F148" s="159" t="s">
        <v>784</v>
      </c>
      <c r="G148" s="159"/>
      <c r="H148" s="161">
        <v>64.811111111111117</v>
      </c>
      <c r="I148" s="161">
        <v>2.2055555555555557</v>
      </c>
      <c r="J148" s="161">
        <v>67.01666666666668</v>
      </c>
      <c r="K148" s="162">
        <v>0</v>
      </c>
      <c r="L148" s="162">
        <v>0</v>
      </c>
      <c r="M148" s="162">
        <v>98</v>
      </c>
      <c r="N148" s="162">
        <v>249</v>
      </c>
      <c r="O148" s="162">
        <v>347</v>
      </c>
      <c r="P148" s="162">
        <v>347</v>
      </c>
      <c r="Q148" s="162">
        <v>98</v>
      </c>
      <c r="R148" s="162">
        <v>2</v>
      </c>
      <c r="S148" s="160">
        <v>0</v>
      </c>
      <c r="T148" s="160">
        <v>0</v>
      </c>
      <c r="U148" s="160">
        <v>0</v>
      </c>
      <c r="V148" s="160">
        <v>0</v>
      </c>
      <c r="W148" s="160">
        <v>0</v>
      </c>
      <c r="X148" s="160">
        <v>0</v>
      </c>
      <c r="Y148" s="160">
        <v>0</v>
      </c>
      <c r="Z148" s="160">
        <v>46.327777777777776</v>
      </c>
      <c r="AA148" s="160">
        <v>50.077777777777776</v>
      </c>
      <c r="AB148" s="160">
        <v>54.138888888888886</v>
      </c>
      <c r="AC148" s="160">
        <v>64.072222222222223</v>
      </c>
      <c r="AD148" s="160">
        <v>72.861111111111114</v>
      </c>
      <c r="AE148" s="160">
        <v>55.044444444444444</v>
      </c>
      <c r="AF148" s="160">
        <v>0</v>
      </c>
      <c r="AG148" s="160">
        <v>96.405555555555551</v>
      </c>
      <c r="AH148" s="160">
        <v>246.11666666666667</v>
      </c>
      <c r="AI148" s="160">
        <v>96.405555555555551</v>
      </c>
      <c r="AJ148" s="160">
        <v>342.52222222222218</v>
      </c>
      <c r="AK148" s="160">
        <v>342.52222222222218</v>
      </c>
      <c r="AL148" s="161">
        <v>59.15</v>
      </c>
      <c r="AM148" s="161">
        <v>2</v>
      </c>
      <c r="AN148" s="161">
        <v>61.15</v>
      </c>
      <c r="AO148" s="161">
        <v>344.52222222222218</v>
      </c>
      <c r="AP148" s="162">
        <v>0</v>
      </c>
      <c r="AQ148" s="168">
        <v>0</v>
      </c>
      <c r="AR148" s="160">
        <v>0</v>
      </c>
      <c r="AS148" s="160">
        <v>0</v>
      </c>
      <c r="AT148" s="160">
        <v>0</v>
      </c>
      <c r="AU148" s="160">
        <v>0</v>
      </c>
      <c r="AV148" s="160">
        <v>0</v>
      </c>
      <c r="AW148" s="160">
        <v>50</v>
      </c>
      <c r="AX148" s="160">
        <v>61</v>
      </c>
      <c r="AY148" s="160">
        <v>77</v>
      </c>
      <c r="AZ148" s="160">
        <v>57</v>
      </c>
      <c r="BA148" s="160">
        <v>72</v>
      </c>
      <c r="BB148" s="160">
        <v>65</v>
      </c>
      <c r="BC148" s="160">
        <v>0</v>
      </c>
      <c r="BD148" s="160">
        <v>111</v>
      </c>
      <c r="BE148" s="160">
        <v>271</v>
      </c>
      <c r="BF148" s="160">
        <v>111</v>
      </c>
      <c r="BG148" s="160">
        <v>382</v>
      </c>
      <c r="BH148" s="160">
        <v>382</v>
      </c>
      <c r="BI148" s="160">
        <v>0</v>
      </c>
      <c r="BJ148" s="160">
        <v>0</v>
      </c>
      <c r="BK148" s="160">
        <v>2</v>
      </c>
      <c r="BL148" s="160">
        <v>66</v>
      </c>
      <c r="BM148" s="160">
        <v>77</v>
      </c>
      <c r="BN148" s="162">
        <v>1</v>
      </c>
      <c r="BO148" s="162">
        <v>78</v>
      </c>
      <c r="BP148" s="162">
        <v>7</v>
      </c>
      <c r="BQ148" s="163">
        <v>7.073401162790699E-2</v>
      </c>
      <c r="BR148" s="164">
        <v>28.04</v>
      </c>
      <c r="BS148" s="164">
        <v>25.16</v>
      </c>
      <c r="BT148" s="164">
        <v>24.16</v>
      </c>
      <c r="BU148" s="164">
        <v>30.039999999999996</v>
      </c>
      <c r="BV148" s="165">
        <v>0</v>
      </c>
      <c r="BW148" s="165">
        <v>0</v>
      </c>
      <c r="BX148" s="166">
        <v>0</v>
      </c>
      <c r="BY148" s="166">
        <v>0</v>
      </c>
      <c r="BZ148" s="166">
        <v>0</v>
      </c>
      <c r="CA148" s="166">
        <v>0</v>
      </c>
      <c r="CB148" s="166">
        <v>0</v>
      </c>
      <c r="CC148" s="166">
        <v>0</v>
      </c>
      <c r="CD148" s="166">
        <v>0</v>
      </c>
      <c r="CE148" s="166">
        <v>0</v>
      </c>
      <c r="CF148" s="166">
        <v>0</v>
      </c>
      <c r="CG148" s="166">
        <v>0</v>
      </c>
      <c r="CH148" s="166">
        <v>48.25</v>
      </c>
      <c r="CI148" s="166">
        <v>59.905555555555559</v>
      </c>
      <c r="CJ148" s="166">
        <v>79.00555555555556</v>
      </c>
      <c r="CK148" s="166">
        <v>51.922222222222224</v>
      </c>
      <c r="CL148" s="166">
        <v>67.483333333333334</v>
      </c>
      <c r="CM148" s="166">
        <v>62.022222222222226</v>
      </c>
      <c r="CN148" s="166">
        <v>0</v>
      </c>
      <c r="CO148" s="166">
        <v>108.15555555555557</v>
      </c>
      <c r="CP148" s="166">
        <v>260.43333333333334</v>
      </c>
      <c r="CQ148" s="166">
        <v>108.15555555555557</v>
      </c>
      <c r="CR148" s="166">
        <v>368.5888888888889</v>
      </c>
      <c r="CS148" s="166">
        <v>368.5888888888889</v>
      </c>
      <c r="CT148" s="166">
        <v>74.2</v>
      </c>
      <c r="CU148" s="166">
        <v>1</v>
      </c>
      <c r="CV148" s="166">
        <v>75.2</v>
      </c>
      <c r="CW148" s="166">
        <v>369.5888888888889</v>
      </c>
      <c r="CX148" s="166">
        <v>0</v>
      </c>
      <c r="CY148" s="166">
        <v>0</v>
      </c>
      <c r="CZ148" s="165">
        <v>0</v>
      </c>
      <c r="DA148" s="165">
        <v>0</v>
      </c>
      <c r="DB148" s="165">
        <v>0</v>
      </c>
      <c r="DC148" s="165">
        <v>0</v>
      </c>
      <c r="DD148" s="165">
        <v>0</v>
      </c>
      <c r="DE148" s="165">
        <v>0</v>
      </c>
      <c r="DF148" s="165">
        <v>0</v>
      </c>
      <c r="DG148" s="165">
        <v>0</v>
      </c>
      <c r="DH148" s="165">
        <v>58</v>
      </c>
      <c r="DI148" s="165">
        <v>57</v>
      </c>
      <c r="DJ148" s="165">
        <v>65</v>
      </c>
      <c r="DK148" s="165">
        <v>69</v>
      </c>
      <c r="DL148" s="165">
        <v>47</v>
      </c>
      <c r="DM148" s="165">
        <v>57</v>
      </c>
      <c r="DN148" s="165">
        <v>0</v>
      </c>
      <c r="DO148" s="165">
        <v>115</v>
      </c>
      <c r="DP148" s="165">
        <v>238</v>
      </c>
      <c r="DQ148" s="165">
        <v>115</v>
      </c>
      <c r="DR148" s="165">
        <v>353</v>
      </c>
      <c r="DS148" s="165">
        <v>353</v>
      </c>
      <c r="DT148" s="165">
        <v>8</v>
      </c>
      <c r="DU148" s="165">
        <v>80</v>
      </c>
      <c r="DV148" s="165">
        <v>67</v>
      </c>
      <c r="DW148" s="165">
        <v>1</v>
      </c>
      <c r="DX148" s="165">
        <v>68</v>
      </c>
      <c r="DY148" s="165">
        <v>354</v>
      </c>
      <c r="DZ148" s="165">
        <v>9</v>
      </c>
      <c r="EA148" s="166">
        <v>29.816800000000001</v>
      </c>
      <c r="EB148" s="166">
        <v>26.056800000000003</v>
      </c>
      <c r="EC148" s="166">
        <v>0</v>
      </c>
      <c r="ED148" s="166">
        <v>21.087</v>
      </c>
      <c r="EE148" s="166">
        <v>0</v>
      </c>
      <c r="EF148" s="166">
        <v>30.584</v>
      </c>
      <c r="EG148" s="167">
        <v>6.69855182926829E-2</v>
      </c>
      <c r="EH148" s="165"/>
      <c r="EI148" s="165">
        <v>0</v>
      </c>
      <c r="EJ148" s="165">
        <v>370</v>
      </c>
      <c r="EK148" s="165">
        <v>0</v>
      </c>
      <c r="EL148" s="165">
        <v>108</v>
      </c>
      <c r="EM148" s="165">
        <v>262</v>
      </c>
      <c r="EN148" s="165">
        <v>370</v>
      </c>
      <c r="EO148" s="165">
        <v>0</v>
      </c>
      <c r="EP148" s="165">
        <v>64</v>
      </c>
      <c r="EQ148" s="165">
        <v>64</v>
      </c>
      <c r="ER148" s="165">
        <v>63</v>
      </c>
      <c r="ES148" s="165">
        <v>1</v>
      </c>
      <c r="ET148" s="165">
        <v>0</v>
      </c>
      <c r="EU148" s="166">
        <v>7.4169999999999998</v>
      </c>
      <c r="EV148" s="166">
        <v>0</v>
      </c>
      <c r="EW148" s="166">
        <v>3.972</v>
      </c>
      <c r="EX148" s="166">
        <v>0</v>
      </c>
      <c r="EY148" s="166">
        <v>2</v>
      </c>
      <c r="EZ148" s="166">
        <v>13.388999999999999</v>
      </c>
      <c r="FA148" s="166">
        <v>0</v>
      </c>
      <c r="FB148" s="166">
        <v>0</v>
      </c>
      <c r="FC148" s="166">
        <v>0</v>
      </c>
      <c r="FD148" s="166">
        <v>0</v>
      </c>
      <c r="FE148" s="166">
        <v>0</v>
      </c>
      <c r="FF148" s="166">
        <v>0</v>
      </c>
      <c r="FG148" s="166">
        <v>0</v>
      </c>
      <c r="FH148" s="166">
        <v>0</v>
      </c>
      <c r="FI148" s="166">
        <v>0</v>
      </c>
      <c r="FJ148" s="166">
        <v>59.733333333333334</v>
      </c>
      <c r="FK148" s="166">
        <v>57.133333333333333</v>
      </c>
      <c r="FL148" s="166">
        <v>65.066666666666663</v>
      </c>
      <c r="FM148" s="166">
        <v>68.166666666666671</v>
      </c>
      <c r="FN148" s="166">
        <v>46.588888888888889</v>
      </c>
      <c r="FO148" s="166">
        <v>54.355555555555554</v>
      </c>
      <c r="FP148" s="166">
        <v>0</v>
      </c>
      <c r="FQ148" s="166">
        <v>116.86666666666667</v>
      </c>
      <c r="FR148" s="166">
        <v>234.17777777777781</v>
      </c>
      <c r="FS148" s="166">
        <v>116.86666666666667</v>
      </c>
      <c r="FT148" s="166">
        <v>351.04444444444448</v>
      </c>
      <c r="FU148" s="166">
        <v>351.04444444444448</v>
      </c>
      <c r="FV148" s="166">
        <v>62.31111111111111</v>
      </c>
      <c r="FW148" s="166">
        <v>1</v>
      </c>
      <c r="FX148" s="166">
        <v>63.31111111111111</v>
      </c>
      <c r="FY148" s="166">
        <v>352.04444444444448</v>
      </c>
      <c r="FZ148" s="165">
        <v>0</v>
      </c>
      <c r="GA148" s="165">
        <v>0</v>
      </c>
      <c r="GB148" s="165">
        <v>0</v>
      </c>
      <c r="GC148" s="165">
        <v>0</v>
      </c>
      <c r="GD148" s="165">
        <v>0</v>
      </c>
      <c r="GE148" s="165">
        <v>0</v>
      </c>
      <c r="GF148" s="165">
        <v>0</v>
      </c>
      <c r="GG148" s="165">
        <v>0</v>
      </c>
      <c r="GH148" s="165">
        <v>0</v>
      </c>
      <c r="GI148" s="165">
        <v>52</v>
      </c>
      <c r="GJ148" s="165">
        <v>64</v>
      </c>
      <c r="GK148" s="165">
        <v>74</v>
      </c>
      <c r="GL148" s="165">
        <v>62</v>
      </c>
      <c r="GM148" s="165">
        <v>67</v>
      </c>
      <c r="GN148" s="165">
        <v>46</v>
      </c>
      <c r="GO148" s="165">
        <v>0</v>
      </c>
      <c r="GP148" s="165">
        <v>116</v>
      </c>
      <c r="GQ148" s="165">
        <v>249</v>
      </c>
      <c r="GR148" s="165">
        <v>116</v>
      </c>
      <c r="GS148" s="165">
        <v>365</v>
      </c>
      <c r="GT148" s="165">
        <v>365</v>
      </c>
      <c r="GU148" s="165">
        <v>2</v>
      </c>
      <c r="GV148" s="165">
        <v>56</v>
      </c>
      <c r="GW148" s="165">
        <v>48</v>
      </c>
      <c r="GX148" s="165">
        <v>1</v>
      </c>
      <c r="GY148" s="165">
        <v>49</v>
      </c>
      <c r="GZ148" s="165">
        <v>366</v>
      </c>
      <c r="HA148" s="165">
        <v>10</v>
      </c>
      <c r="HB148" s="166">
        <v>29.593</v>
      </c>
      <c r="HC148" s="166">
        <v>26.272999999999996</v>
      </c>
      <c r="HD148" s="166">
        <v>0</v>
      </c>
      <c r="HE148" s="166">
        <v>20.965000000000003</v>
      </c>
      <c r="HF148" s="166"/>
      <c r="HG148" s="166">
        <v>30.41</v>
      </c>
      <c r="HH148" s="166">
        <v>0</v>
      </c>
      <c r="HI148" s="166">
        <v>48</v>
      </c>
      <c r="HJ148" s="166">
        <v>48</v>
      </c>
      <c r="HK148" s="166">
        <v>47</v>
      </c>
      <c r="HL148" s="166">
        <v>1</v>
      </c>
      <c r="HM148" s="166">
        <v>0</v>
      </c>
      <c r="HN148" s="166">
        <v>0</v>
      </c>
      <c r="HO148" s="166">
        <v>485</v>
      </c>
      <c r="HP148" s="166">
        <v>80</v>
      </c>
      <c r="HQ148" s="166">
        <v>134</v>
      </c>
      <c r="HR148" s="166">
        <v>271</v>
      </c>
      <c r="HS148" s="166">
        <v>485</v>
      </c>
      <c r="HT148" s="166">
        <f>FY26_FE_Data_April15[[#This Row],[Oct 1, 2026 (CDC) - K]]+FY26_FE_Data_April15[[#This Row],[Oct 1, 2026 (CDC) - Grades 1-6]]+FY26_FE_Data_April15[[#This Row],[Oct 1, 2026 (CDC) - Grades 7-8]]</f>
        <v>214</v>
      </c>
      <c r="HU148" s="166">
        <v>0</v>
      </c>
      <c r="HW148" s="170"/>
      <c r="HY148" s="170"/>
    </row>
    <row r="149" spans="1:233" ht="26">
      <c r="A149" s="158" t="s">
        <v>658</v>
      </c>
      <c r="B149" s="159" t="s">
        <v>659</v>
      </c>
      <c r="C149" s="160" t="s">
        <v>660</v>
      </c>
      <c r="D149" s="160" t="s">
        <v>139</v>
      </c>
      <c r="E149" s="159" t="s">
        <v>784</v>
      </c>
      <c r="F149" s="159" t="s">
        <v>784</v>
      </c>
      <c r="G149" s="159"/>
      <c r="H149" s="161">
        <v>49.45</v>
      </c>
      <c r="I149" s="161">
        <v>2</v>
      </c>
      <c r="J149" s="161">
        <v>51.45</v>
      </c>
      <c r="K149" s="162">
        <v>66</v>
      </c>
      <c r="L149" s="162">
        <v>453</v>
      </c>
      <c r="M149" s="162">
        <v>0</v>
      </c>
      <c r="N149" s="162">
        <v>0</v>
      </c>
      <c r="O149" s="162">
        <v>519</v>
      </c>
      <c r="P149" s="162">
        <v>453</v>
      </c>
      <c r="Q149" s="162">
        <v>519</v>
      </c>
      <c r="R149" s="162">
        <v>1</v>
      </c>
      <c r="S149" s="160">
        <v>68.794444444444451</v>
      </c>
      <c r="T149" s="160">
        <v>76.194444444444443</v>
      </c>
      <c r="U149" s="160">
        <v>77.988888888888894</v>
      </c>
      <c r="V149" s="160">
        <v>75.849999999999994</v>
      </c>
      <c r="W149" s="160">
        <v>77.433333333333337</v>
      </c>
      <c r="X149" s="160">
        <v>74.922222222222217</v>
      </c>
      <c r="Y149" s="160">
        <v>67</v>
      </c>
      <c r="Z149" s="160">
        <v>0</v>
      </c>
      <c r="AA149" s="160">
        <v>0</v>
      </c>
      <c r="AB149" s="160">
        <v>0</v>
      </c>
      <c r="AC149" s="160">
        <v>0</v>
      </c>
      <c r="AD149" s="160">
        <v>0</v>
      </c>
      <c r="AE149" s="160">
        <v>0</v>
      </c>
      <c r="AF149" s="160">
        <v>449.38888888888891</v>
      </c>
      <c r="AG149" s="160">
        <v>0</v>
      </c>
      <c r="AH149" s="160">
        <v>0</v>
      </c>
      <c r="AI149" s="160">
        <v>518.18333333333339</v>
      </c>
      <c r="AJ149" s="160">
        <v>449.38888888888891</v>
      </c>
      <c r="AK149" s="160">
        <v>518.18333333333339</v>
      </c>
      <c r="AL149" s="161">
        <v>43.5</v>
      </c>
      <c r="AM149" s="161">
        <v>2.9555555555555557</v>
      </c>
      <c r="AN149" s="161">
        <v>46.455555555555556</v>
      </c>
      <c r="AO149" s="161">
        <v>521.13888888888891</v>
      </c>
      <c r="AP149" s="162">
        <v>81</v>
      </c>
      <c r="AQ149" s="168">
        <v>78</v>
      </c>
      <c r="AR149" s="160">
        <v>78</v>
      </c>
      <c r="AS149" s="160">
        <v>78</v>
      </c>
      <c r="AT149" s="160">
        <v>78</v>
      </c>
      <c r="AU149" s="160">
        <v>75</v>
      </c>
      <c r="AV149" s="160">
        <v>52</v>
      </c>
      <c r="AW149" s="160">
        <v>0</v>
      </c>
      <c r="AX149" s="160">
        <v>0</v>
      </c>
      <c r="AY149" s="160">
        <v>0</v>
      </c>
      <c r="AZ149" s="160">
        <v>0</v>
      </c>
      <c r="BA149" s="160">
        <v>0</v>
      </c>
      <c r="BB149" s="160">
        <v>0</v>
      </c>
      <c r="BC149" s="160">
        <v>439</v>
      </c>
      <c r="BD149" s="160">
        <v>0</v>
      </c>
      <c r="BE149" s="160">
        <v>0</v>
      </c>
      <c r="BF149" s="160">
        <v>520</v>
      </c>
      <c r="BG149" s="160">
        <v>439</v>
      </c>
      <c r="BH149" s="160">
        <v>520</v>
      </c>
      <c r="BI149" s="160">
        <v>40</v>
      </c>
      <c r="BJ149" s="160">
        <v>41</v>
      </c>
      <c r="BK149" s="160">
        <v>0</v>
      </c>
      <c r="BL149" s="160">
        <v>52</v>
      </c>
      <c r="BM149" s="160">
        <v>45</v>
      </c>
      <c r="BN149" s="162">
        <v>4</v>
      </c>
      <c r="BO149" s="162">
        <v>49</v>
      </c>
      <c r="BP149" s="162">
        <v>3</v>
      </c>
      <c r="BQ149" s="163">
        <v>7.0588235294117674E-2</v>
      </c>
      <c r="BR149" s="164">
        <v>25.5</v>
      </c>
      <c r="BS149" s="164">
        <v>25</v>
      </c>
      <c r="BT149" s="164">
        <v>24.5</v>
      </c>
      <c r="BU149" s="164">
        <v>26.021000000000001</v>
      </c>
      <c r="BV149" s="165">
        <v>0</v>
      </c>
      <c r="BW149" s="165">
        <v>0</v>
      </c>
      <c r="BX149" s="166">
        <v>0</v>
      </c>
      <c r="BY149" s="166">
        <v>39.594444000000003</v>
      </c>
      <c r="BZ149" s="166">
        <v>40</v>
      </c>
      <c r="CA149" s="166">
        <v>79.594444444444449</v>
      </c>
      <c r="CB149" s="166">
        <v>75.8</v>
      </c>
      <c r="CC149" s="166">
        <v>76</v>
      </c>
      <c r="CD149" s="166">
        <v>78</v>
      </c>
      <c r="CE149" s="166">
        <v>76.388888888888886</v>
      </c>
      <c r="CF149" s="166">
        <v>74.388888888888886</v>
      </c>
      <c r="CG149" s="166">
        <v>51.455555555555556</v>
      </c>
      <c r="CH149" s="166">
        <v>0</v>
      </c>
      <c r="CI149" s="166">
        <v>0</v>
      </c>
      <c r="CJ149" s="166">
        <v>0</v>
      </c>
      <c r="CK149" s="166">
        <v>0</v>
      </c>
      <c r="CL149" s="166">
        <v>0</v>
      </c>
      <c r="CM149" s="166">
        <v>0</v>
      </c>
      <c r="CN149" s="166">
        <v>432.03333333333336</v>
      </c>
      <c r="CO149" s="166">
        <v>0</v>
      </c>
      <c r="CP149" s="166">
        <v>0</v>
      </c>
      <c r="CQ149" s="166">
        <v>511.62777777777779</v>
      </c>
      <c r="CR149" s="166">
        <v>432.03333333333336</v>
      </c>
      <c r="CS149" s="166">
        <v>511.62777777777779</v>
      </c>
      <c r="CT149" s="166">
        <v>52.8888888888889</v>
      </c>
      <c r="CU149" s="166">
        <v>3.9722222222222201</v>
      </c>
      <c r="CV149" s="166">
        <v>56.861111111111121</v>
      </c>
      <c r="CW149" s="166">
        <v>515.6</v>
      </c>
      <c r="CX149" s="166">
        <v>0</v>
      </c>
      <c r="CY149" s="166">
        <v>39</v>
      </c>
      <c r="CZ149" s="165">
        <v>39</v>
      </c>
      <c r="DA149" s="165">
        <v>78</v>
      </c>
      <c r="DB149" s="165">
        <v>78</v>
      </c>
      <c r="DC149" s="165">
        <v>77</v>
      </c>
      <c r="DD149" s="165">
        <v>78</v>
      </c>
      <c r="DE149" s="165">
        <v>78</v>
      </c>
      <c r="DF149" s="165">
        <v>78</v>
      </c>
      <c r="DG149" s="165">
        <v>57</v>
      </c>
      <c r="DH149" s="165">
        <v>0</v>
      </c>
      <c r="DI149" s="165">
        <v>0</v>
      </c>
      <c r="DJ149" s="165">
        <v>0</v>
      </c>
      <c r="DK149" s="165">
        <v>0</v>
      </c>
      <c r="DL149" s="165">
        <v>0</v>
      </c>
      <c r="DM149" s="165">
        <v>0</v>
      </c>
      <c r="DN149" s="165">
        <v>446</v>
      </c>
      <c r="DO149" s="165">
        <v>0</v>
      </c>
      <c r="DP149" s="165">
        <v>0</v>
      </c>
      <c r="DQ149" s="165">
        <v>524</v>
      </c>
      <c r="DR149" s="165">
        <v>446</v>
      </c>
      <c r="DS149" s="165">
        <v>524</v>
      </c>
      <c r="DT149" s="165">
        <v>0</v>
      </c>
      <c r="DU149" s="165">
        <v>32</v>
      </c>
      <c r="DV149" s="165">
        <v>60</v>
      </c>
      <c r="DW149" s="165">
        <v>3</v>
      </c>
      <c r="DX149" s="165">
        <v>63</v>
      </c>
      <c r="DY149" s="165">
        <v>527</v>
      </c>
      <c r="DZ149" s="165">
        <v>5</v>
      </c>
      <c r="EA149" s="166">
        <v>25</v>
      </c>
      <c r="EB149" s="166">
        <v>24</v>
      </c>
      <c r="EC149" s="166">
        <v>23.5</v>
      </c>
      <c r="ED149" s="166">
        <v>0</v>
      </c>
      <c r="EE149" s="166">
        <v>0</v>
      </c>
      <c r="EF149" s="166">
        <v>25.5</v>
      </c>
      <c r="EG149" s="167">
        <v>6.7253372276238399E-2</v>
      </c>
      <c r="EH149" s="165"/>
      <c r="EI149" s="165">
        <v>79</v>
      </c>
      <c r="EJ149" s="165">
        <v>443</v>
      </c>
      <c r="EK149" s="165">
        <v>443</v>
      </c>
      <c r="EL149" s="165">
        <v>0</v>
      </c>
      <c r="EM149" s="165">
        <v>0</v>
      </c>
      <c r="EN149" s="165">
        <v>522</v>
      </c>
      <c r="EO149" s="165">
        <v>0</v>
      </c>
      <c r="EP149" s="165">
        <v>63</v>
      </c>
      <c r="EQ149" s="165">
        <v>63</v>
      </c>
      <c r="ER149" s="165">
        <v>59</v>
      </c>
      <c r="ES149" s="165">
        <v>4</v>
      </c>
      <c r="ET149" s="165">
        <v>4</v>
      </c>
      <c r="EU149" s="166">
        <v>14.455</v>
      </c>
      <c r="EV149" s="166">
        <v>0.91900000000000004</v>
      </c>
      <c r="EW149" s="166">
        <v>2.5470000000000002</v>
      </c>
      <c r="EX149" s="166">
        <v>0</v>
      </c>
      <c r="EY149" s="166">
        <v>2.806</v>
      </c>
      <c r="EZ149" s="166">
        <v>20.727</v>
      </c>
      <c r="FA149" s="166">
        <v>37.716666666666669</v>
      </c>
      <c r="FB149" s="166">
        <v>40.68888888888889</v>
      </c>
      <c r="FC149" s="166">
        <v>78.405555555555551</v>
      </c>
      <c r="FD149" s="166">
        <v>77.927777777777777</v>
      </c>
      <c r="FE149" s="166">
        <v>76.288888888888891</v>
      </c>
      <c r="FF149" s="166">
        <v>77</v>
      </c>
      <c r="FG149" s="166">
        <v>77.927777777777777</v>
      </c>
      <c r="FH149" s="166">
        <v>76.988888888888894</v>
      </c>
      <c r="FI149" s="166">
        <v>55.444444444444443</v>
      </c>
      <c r="FJ149" s="166">
        <v>0</v>
      </c>
      <c r="FK149" s="166">
        <v>0</v>
      </c>
      <c r="FL149" s="166">
        <v>0</v>
      </c>
      <c r="FM149" s="166">
        <v>0</v>
      </c>
      <c r="FN149" s="166">
        <v>0</v>
      </c>
      <c r="FO149" s="166">
        <v>0</v>
      </c>
      <c r="FP149" s="166">
        <v>441.57777777777778</v>
      </c>
      <c r="FQ149" s="166">
        <v>0</v>
      </c>
      <c r="FR149" s="166">
        <v>0</v>
      </c>
      <c r="FS149" s="166">
        <v>519.98333333333323</v>
      </c>
      <c r="FT149" s="166">
        <v>441.57777777777778</v>
      </c>
      <c r="FU149" s="166">
        <v>519.98333333333323</v>
      </c>
      <c r="FV149" s="166">
        <v>63.161111111111111</v>
      </c>
      <c r="FW149" s="166">
        <v>4.0611111111111109</v>
      </c>
      <c r="FX149" s="166">
        <v>67.222222222222229</v>
      </c>
      <c r="FY149" s="166">
        <v>524.04444444444437</v>
      </c>
      <c r="FZ149" s="165">
        <v>36</v>
      </c>
      <c r="GA149" s="165">
        <v>40</v>
      </c>
      <c r="GB149" s="165">
        <v>76</v>
      </c>
      <c r="GC149" s="165">
        <v>74</v>
      </c>
      <c r="GD149" s="165">
        <v>78</v>
      </c>
      <c r="GE149" s="165">
        <v>77</v>
      </c>
      <c r="GF149" s="165">
        <v>78</v>
      </c>
      <c r="GG149" s="165">
        <v>78</v>
      </c>
      <c r="GH149" s="165">
        <v>53</v>
      </c>
      <c r="GI149" s="165">
        <v>0</v>
      </c>
      <c r="GJ149" s="165">
        <v>0</v>
      </c>
      <c r="GK149" s="165">
        <v>0</v>
      </c>
      <c r="GL149" s="165">
        <v>0</v>
      </c>
      <c r="GM149" s="165">
        <v>0</v>
      </c>
      <c r="GN149" s="165">
        <v>0</v>
      </c>
      <c r="GO149" s="165">
        <v>438</v>
      </c>
      <c r="GP149" s="165">
        <v>0</v>
      </c>
      <c r="GQ149" s="165">
        <v>0</v>
      </c>
      <c r="GR149" s="165">
        <v>514</v>
      </c>
      <c r="GS149" s="165">
        <v>438</v>
      </c>
      <c r="GT149" s="165">
        <v>514</v>
      </c>
      <c r="GU149" s="165">
        <v>0</v>
      </c>
      <c r="GV149" s="165">
        <v>32</v>
      </c>
      <c r="GW149" s="165">
        <v>60</v>
      </c>
      <c r="GX149" s="165">
        <v>3</v>
      </c>
      <c r="GY149" s="165">
        <v>63</v>
      </c>
      <c r="GZ149" s="165">
        <v>517</v>
      </c>
      <c r="HA149" s="165">
        <v>5</v>
      </c>
      <c r="HB149" s="166">
        <v>28.091000000000001</v>
      </c>
      <c r="HC149" s="166">
        <v>27.100999999999999</v>
      </c>
      <c r="HD149" s="166">
        <v>25.100999999999999</v>
      </c>
      <c r="HE149" s="166">
        <v>0</v>
      </c>
      <c r="HF149" s="166"/>
      <c r="HG149" s="166">
        <v>29.591000000000001</v>
      </c>
      <c r="HH149" s="166">
        <v>0</v>
      </c>
      <c r="HI149" s="166">
        <v>70</v>
      </c>
      <c r="HJ149" s="166">
        <v>70</v>
      </c>
      <c r="HK149" s="166">
        <v>67</v>
      </c>
      <c r="HL149" s="166">
        <v>3</v>
      </c>
      <c r="HM149" s="166">
        <v>3</v>
      </c>
      <c r="HN149" s="166">
        <v>78</v>
      </c>
      <c r="HO149" s="166">
        <v>446</v>
      </c>
      <c r="HP149" s="166">
        <v>446</v>
      </c>
      <c r="HQ149" s="166">
        <v>0</v>
      </c>
      <c r="HR149" s="166">
        <v>0</v>
      </c>
      <c r="HS149" s="166">
        <v>524</v>
      </c>
      <c r="HT149" s="166">
        <f>FY26_FE_Data_April15[[#This Row],[Oct 1, 2026 (CDC) - K]]+FY26_FE_Data_April15[[#This Row],[Oct 1, 2026 (CDC) - Grades 1-6]]+FY26_FE_Data_April15[[#This Row],[Oct 1, 2026 (CDC) - Grades 7-8]]</f>
        <v>524</v>
      </c>
      <c r="HU149" s="166">
        <v>0</v>
      </c>
      <c r="HW149" s="170"/>
      <c r="HY149" s="170"/>
    </row>
    <row r="150" spans="1:233" ht="26">
      <c r="A150" s="158" t="s">
        <v>661</v>
      </c>
      <c r="B150" s="159" t="s">
        <v>662</v>
      </c>
      <c r="C150" s="160" t="s">
        <v>663</v>
      </c>
      <c r="D150" s="160" t="s">
        <v>139</v>
      </c>
      <c r="E150" s="159" t="s">
        <v>784</v>
      </c>
      <c r="F150" s="159" t="s">
        <v>784</v>
      </c>
      <c r="G150" s="159"/>
      <c r="H150" s="161">
        <v>253.35555555555555</v>
      </c>
      <c r="I150" s="161">
        <v>11.672222222222222</v>
      </c>
      <c r="J150" s="161">
        <v>265.02777777777777</v>
      </c>
      <c r="K150" s="162">
        <v>144</v>
      </c>
      <c r="L150" s="162">
        <v>931</v>
      </c>
      <c r="M150" s="162">
        <v>402</v>
      </c>
      <c r="N150" s="162">
        <v>671</v>
      </c>
      <c r="O150" s="162">
        <v>2148</v>
      </c>
      <c r="P150" s="162">
        <v>2004</v>
      </c>
      <c r="Q150" s="162">
        <v>1477</v>
      </c>
      <c r="R150" s="162">
        <v>11</v>
      </c>
      <c r="S150" s="160">
        <v>145.31666666666666</v>
      </c>
      <c r="T150" s="160">
        <v>147.56666666666666</v>
      </c>
      <c r="U150" s="160">
        <v>149.19999999999999</v>
      </c>
      <c r="V150" s="160">
        <v>147.57777777777778</v>
      </c>
      <c r="W150" s="160">
        <v>148.94444444444446</v>
      </c>
      <c r="X150" s="160">
        <v>146.4</v>
      </c>
      <c r="Y150" s="160">
        <v>182.29444444444445</v>
      </c>
      <c r="Z150" s="160">
        <v>187.04444444444445</v>
      </c>
      <c r="AA150" s="160">
        <v>202.38888888888889</v>
      </c>
      <c r="AB150" s="160">
        <v>181.08333333333334</v>
      </c>
      <c r="AC150" s="160">
        <v>174.18333333333334</v>
      </c>
      <c r="AD150" s="160">
        <v>169.95</v>
      </c>
      <c r="AE150" s="160">
        <v>129.30555555555554</v>
      </c>
      <c r="AF150" s="160">
        <v>921.98333333333335</v>
      </c>
      <c r="AG150" s="160">
        <v>389.43333333333334</v>
      </c>
      <c r="AH150" s="160">
        <v>654.52222222222224</v>
      </c>
      <c r="AI150" s="160">
        <v>1456.7333333333333</v>
      </c>
      <c r="AJ150" s="160">
        <v>1965.9388888888889</v>
      </c>
      <c r="AK150" s="160">
        <v>2111.2555555555555</v>
      </c>
      <c r="AL150" s="161">
        <v>255.86111111111111</v>
      </c>
      <c r="AM150" s="161">
        <v>14.822222222222223</v>
      </c>
      <c r="AN150" s="161">
        <v>270.68333333333334</v>
      </c>
      <c r="AO150" s="161">
        <v>2126.0777777777776</v>
      </c>
      <c r="AP150" s="162">
        <v>147</v>
      </c>
      <c r="AQ150" s="168">
        <v>143</v>
      </c>
      <c r="AR150" s="160">
        <v>148</v>
      </c>
      <c r="AS150" s="160">
        <v>146</v>
      </c>
      <c r="AT150" s="160">
        <v>138</v>
      </c>
      <c r="AU150" s="160">
        <v>151</v>
      </c>
      <c r="AV150" s="160">
        <v>169</v>
      </c>
      <c r="AW150" s="160">
        <v>191</v>
      </c>
      <c r="AX150" s="160">
        <v>193</v>
      </c>
      <c r="AY150" s="160">
        <v>206</v>
      </c>
      <c r="AZ150" s="160">
        <v>150</v>
      </c>
      <c r="BA150" s="160">
        <v>154</v>
      </c>
      <c r="BB150" s="160">
        <v>163</v>
      </c>
      <c r="BC150" s="160">
        <v>895</v>
      </c>
      <c r="BD150" s="160">
        <v>384</v>
      </c>
      <c r="BE150" s="160">
        <v>673</v>
      </c>
      <c r="BF150" s="160">
        <v>1426</v>
      </c>
      <c r="BG150" s="160">
        <v>1952</v>
      </c>
      <c r="BH150" s="160">
        <v>2099</v>
      </c>
      <c r="BI150" s="160">
        <v>100</v>
      </c>
      <c r="BJ150" s="160">
        <v>47</v>
      </c>
      <c r="BK150" s="160">
        <v>7</v>
      </c>
      <c r="BL150" s="160">
        <v>439</v>
      </c>
      <c r="BM150" s="160">
        <v>243</v>
      </c>
      <c r="BN150" s="162">
        <v>18</v>
      </c>
      <c r="BO150" s="162">
        <v>261</v>
      </c>
      <c r="BP150" s="162">
        <v>209</v>
      </c>
      <c r="BQ150" s="163">
        <v>7.2258465811285477E-2</v>
      </c>
      <c r="BR150" s="164">
        <v>148.97500000000002</v>
      </c>
      <c r="BS150" s="164">
        <v>145.97500000000002</v>
      </c>
      <c r="BT150" s="164">
        <v>136.535</v>
      </c>
      <c r="BU150" s="164">
        <v>147.47500000000002</v>
      </c>
      <c r="BV150" s="165">
        <v>0</v>
      </c>
      <c r="BW150" s="165">
        <v>0</v>
      </c>
      <c r="BX150" s="166">
        <v>0</v>
      </c>
      <c r="BY150" s="166">
        <v>47.927776999999999</v>
      </c>
      <c r="BZ150" s="166">
        <v>96.916666000000006</v>
      </c>
      <c r="CA150" s="166">
        <v>144.84444444444443</v>
      </c>
      <c r="CB150" s="166">
        <v>141.95555555555555</v>
      </c>
      <c r="CC150" s="166">
        <v>147.48888888888888</v>
      </c>
      <c r="CD150" s="166">
        <v>146.19999999999999</v>
      </c>
      <c r="CE150" s="166">
        <v>136.23333333333332</v>
      </c>
      <c r="CF150" s="166">
        <v>152.07222222222222</v>
      </c>
      <c r="CG150" s="166">
        <v>167.43333333333334</v>
      </c>
      <c r="CH150" s="166">
        <v>192.61111111111111</v>
      </c>
      <c r="CI150" s="166">
        <v>194.96111111111111</v>
      </c>
      <c r="CJ150" s="166">
        <v>202.19444444444446</v>
      </c>
      <c r="CK150" s="166">
        <v>145.61666666666667</v>
      </c>
      <c r="CL150" s="166">
        <v>148.80555555555554</v>
      </c>
      <c r="CM150" s="166">
        <v>149.9111111111111</v>
      </c>
      <c r="CN150" s="166">
        <v>891.38333333333321</v>
      </c>
      <c r="CO150" s="166">
        <v>387.57222222222219</v>
      </c>
      <c r="CP150" s="166">
        <v>646.52777777777783</v>
      </c>
      <c r="CQ150" s="166">
        <v>1423.7999999999997</v>
      </c>
      <c r="CR150" s="166">
        <v>1925.4833333333331</v>
      </c>
      <c r="CS150" s="166">
        <v>2070.3277777777776</v>
      </c>
      <c r="CT150" s="166">
        <v>247.82777777777801</v>
      </c>
      <c r="CU150" s="166">
        <v>13.922222222222199</v>
      </c>
      <c r="CV150" s="166">
        <v>261.75000000000023</v>
      </c>
      <c r="CW150" s="166">
        <v>2084.2499999999995</v>
      </c>
      <c r="CX150" s="166">
        <v>0</v>
      </c>
      <c r="CY150" s="166">
        <v>99</v>
      </c>
      <c r="CZ150" s="165">
        <v>37</v>
      </c>
      <c r="DA150" s="165">
        <v>136</v>
      </c>
      <c r="DB150" s="165">
        <v>143</v>
      </c>
      <c r="DC150" s="165">
        <v>139</v>
      </c>
      <c r="DD150" s="165">
        <v>151</v>
      </c>
      <c r="DE150" s="165">
        <v>156</v>
      </c>
      <c r="DF150" s="165">
        <v>141</v>
      </c>
      <c r="DG150" s="165">
        <v>181</v>
      </c>
      <c r="DH150" s="165">
        <v>176</v>
      </c>
      <c r="DI150" s="165">
        <v>204</v>
      </c>
      <c r="DJ150" s="165">
        <v>179</v>
      </c>
      <c r="DK150" s="165">
        <v>157</v>
      </c>
      <c r="DL150" s="165">
        <v>140</v>
      </c>
      <c r="DM150" s="165">
        <v>137</v>
      </c>
      <c r="DN150" s="165">
        <v>911</v>
      </c>
      <c r="DO150" s="165">
        <v>380</v>
      </c>
      <c r="DP150" s="165">
        <v>613</v>
      </c>
      <c r="DQ150" s="165">
        <v>1427</v>
      </c>
      <c r="DR150" s="165">
        <v>1904</v>
      </c>
      <c r="DS150" s="165">
        <v>2040</v>
      </c>
      <c r="DT150" s="165">
        <v>7</v>
      </c>
      <c r="DU150" s="165">
        <v>403</v>
      </c>
      <c r="DV150" s="165">
        <v>242</v>
      </c>
      <c r="DW150" s="165">
        <v>7</v>
      </c>
      <c r="DX150" s="165">
        <v>249</v>
      </c>
      <c r="DY150" s="165">
        <v>2047</v>
      </c>
      <c r="DZ150" s="165">
        <v>190</v>
      </c>
      <c r="EA150" s="166">
        <v>149.07999999999998</v>
      </c>
      <c r="EB150" s="166">
        <v>146.07999999999998</v>
      </c>
      <c r="EC150" s="166">
        <v>49.15</v>
      </c>
      <c r="ED150" s="166">
        <v>73.89</v>
      </c>
      <c r="EE150" s="166">
        <v>0</v>
      </c>
      <c r="EF150" s="166">
        <v>149.07999999999998</v>
      </c>
      <c r="EG150" s="167">
        <v>7.5052232049585332E-2</v>
      </c>
      <c r="EH150" s="165"/>
      <c r="EI150" s="165">
        <v>110</v>
      </c>
      <c r="EJ150" s="165">
        <v>1929</v>
      </c>
      <c r="EK150" s="165">
        <v>898</v>
      </c>
      <c r="EL150" s="165">
        <v>394</v>
      </c>
      <c r="EM150" s="165">
        <v>637</v>
      </c>
      <c r="EN150" s="165">
        <v>2039</v>
      </c>
      <c r="EO150" s="165">
        <v>0</v>
      </c>
      <c r="EP150" s="165">
        <v>243</v>
      </c>
      <c r="EQ150" s="165">
        <v>243</v>
      </c>
      <c r="ER150" s="165">
        <v>239</v>
      </c>
      <c r="ES150" s="165">
        <v>4</v>
      </c>
      <c r="ET150" s="165">
        <v>18</v>
      </c>
      <c r="EU150" s="166">
        <v>38.645000000000003</v>
      </c>
      <c r="EV150" s="166">
        <v>1.0780000000000001</v>
      </c>
      <c r="EW150" s="166">
        <v>7.4669999999999996</v>
      </c>
      <c r="EX150" s="166">
        <v>4.431</v>
      </c>
      <c r="EY150" s="166">
        <v>18.173999999999999</v>
      </c>
      <c r="EZ150" s="166">
        <v>69.795000000000002</v>
      </c>
      <c r="FA150" s="166">
        <v>38.4</v>
      </c>
      <c r="FB150" s="166">
        <v>97.827777777777783</v>
      </c>
      <c r="FC150" s="166">
        <v>136.22777777777779</v>
      </c>
      <c r="FD150" s="166">
        <v>140.75</v>
      </c>
      <c r="FE150" s="166">
        <v>137.19444444444446</v>
      </c>
      <c r="FF150" s="166">
        <v>151.74444444444444</v>
      </c>
      <c r="FG150" s="166">
        <v>155.1611111111111</v>
      </c>
      <c r="FH150" s="166">
        <v>140.26111111111112</v>
      </c>
      <c r="FI150" s="166">
        <v>179.57777777777778</v>
      </c>
      <c r="FJ150" s="166">
        <v>178.54444444444445</v>
      </c>
      <c r="FK150" s="166">
        <v>198.98333333333332</v>
      </c>
      <c r="FL150" s="166">
        <v>181.97777777777779</v>
      </c>
      <c r="FM150" s="166">
        <v>154.13333333333333</v>
      </c>
      <c r="FN150" s="166">
        <v>134.32777777777778</v>
      </c>
      <c r="FO150" s="166">
        <v>129.12777777777777</v>
      </c>
      <c r="FP150" s="166">
        <v>904.68888888888887</v>
      </c>
      <c r="FQ150" s="166">
        <v>377.52777777777777</v>
      </c>
      <c r="FR150" s="166">
        <v>599.56666666666661</v>
      </c>
      <c r="FS150" s="166">
        <v>1418.4444444444446</v>
      </c>
      <c r="FT150" s="166">
        <v>1881.7833333333335</v>
      </c>
      <c r="FU150" s="166">
        <v>2018.0111111111112</v>
      </c>
      <c r="FV150" s="166">
        <v>239.15</v>
      </c>
      <c r="FW150" s="166">
        <v>5.1611111111111114</v>
      </c>
      <c r="FX150" s="166">
        <v>244.31111111111113</v>
      </c>
      <c r="FY150" s="166">
        <v>2023.1722222222222</v>
      </c>
      <c r="FZ150" s="165">
        <v>23</v>
      </c>
      <c r="GA150" s="165">
        <v>114</v>
      </c>
      <c r="GB150" s="165">
        <v>137</v>
      </c>
      <c r="GC150" s="165">
        <v>139</v>
      </c>
      <c r="GD150" s="165">
        <v>146</v>
      </c>
      <c r="GE150" s="165">
        <v>152</v>
      </c>
      <c r="GF150" s="165">
        <v>154</v>
      </c>
      <c r="GG150" s="165">
        <v>164</v>
      </c>
      <c r="GH150" s="165">
        <v>162</v>
      </c>
      <c r="GI150" s="165">
        <v>214</v>
      </c>
      <c r="GJ150" s="165">
        <v>176</v>
      </c>
      <c r="GK150" s="165">
        <v>207</v>
      </c>
      <c r="GL150" s="165">
        <v>152</v>
      </c>
      <c r="GM150" s="165">
        <v>138</v>
      </c>
      <c r="GN150" s="165">
        <v>114</v>
      </c>
      <c r="GO150" s="165">
        <v>917</v>
      </c>
      <c r="GP150" s="165">
        <v>390</v>
      </c>
      <c r="GQ150" s="165">
        <v>611</v>
      </c>
      <c r="GR150" s="165">
        <v>1444</v>
      </c>
      <c r="GS150" s="165">
        <v>1918</v>
      </c>
      <c r="GT150" s="165">
        <v>2055</v>
      </c>
      <c r="GU150" s="165">
        <v>6</v>
      </c>
      <c r="GV150" s="165">
        <v>430</v>
      </c>
      <c r="GW150" s="165">
        <v>259</v>
      </c>
      <c r="GX150" s="165">
        <v>7</v>
      </c>
      <c r="GY150" s="165">
        <v>266</v>
      </c>
      <c r="GZ150" s="165">
        <v>2062</v>
      </c>
      <c r="HA150" s="165">
        <v>165</v>
      </c>
      <c r="HB150" s="166">
        <v>148.54999999999998</v>
      </c>
      <c r="HC150" s="166">
        <v>145.54999999999998</v>
      </c>
      <c r="HD150" s="166">
        <v>51.23</v>
      </c>
      <c r="HE150" s="166">
        <v>70.210000000000008</v>
      </c>
      <c r="HF150" s="166"/>
      <c r="HG150" s="166">
        <v>149.22999999999999</v>
      </c>
      <c r="HH150" s="166">
        <v>0</v>
      </c>
      <c r="HI150" s="166">
        <v>256</v>
      </c>
      <c r="HJ150" s="166">
        <v>256</v>
      </c>
      <c r="HK150" s="166">
        <v>250</v>
      </c>
      <c r="HL150" s="166">
        <v>6</v>
      </c>
      <c r="HM150" s="166">
        <v>12</v>
      </c>
      <c r="HN150" s="166">
        <v>130</v>
      </c>
      <c r="HO150" s="166">
        <v>1936</v>
      </c>
      <c r="HP150" s="166">
        <v>914</v>
      </c>
      <c r="HQ150" s="166">
        <v>390</v>
      </c>
      <c r="HR150" s="166">
        <v>632</v>
      </c>
      <c r="HS150" s="166">
        <v>2066</v>
      </c>
      <c r="HT150" s="166">
        <f>FY26_FE_Data_April15[[#This Row],[Oct 1, 2026 (CDC) - K]]+FY26_FE_Data_April15[[#This Row],[Oct 1, 2026 (CDC) - Grades 1-6]]+FY26_FE_Data_April15[[#This Row],[Oct 1, 2026 (CDC) - Grades 7-8]]</f>
        <v>1434</v>
      </c>
      <c r="HU150" s="166">
        <v>0</v>
      </c>
      <c r="HW150" s="170"/>
      <c r="HY150" s="170"/>
    </row>
    <row r="151" spans="1:233" ht="39">
      <c r="A151" s="158" t="s">
        <v>664</v>
      </c>
      <c r="B151" s="159" t="s">
        <v>665</v>
      </c>
      <c r="C151" s="160" t="s">
        <v>666</v>
      </c>
      <c r="D151" s="160" t="s">
        <v>139</v>
      </c>
      <c r="E151" s="159" t="s">
        <v>784</v>
      </c>
      <c r="F151" s="159" t="s">
        <v>784</v>
      </c>
      <c r="G151" s="159"/>
      <c r="H151" s="161">
        <v>174.53888888888889</v>
      </c>
      <c r="I151" s="161">
        <v>1.2444444444444445</v>
      </c>
      <c r="J151" s="161">
        <v>175.78333333333333</v>
      </c>
      <c r="K151" s="162">
        <v>0</v>
      </c>
      <c r="L151" s="162">
        <v>0</v>
      </c>
      <c r="M151" s="162">
        <v>187</v>
      </c>
      <c r="N151" s="162">
        <v>787</v>
      </c>
      <c r="O151" s="162">
        <v>974</v>
      </c>
      <c r="P151" s="162">
        <v>974</v>
      </c>
      <c r="Q151" s="162">
        <v>187</v>
      </c>
      <c r="R151" s="162">
        <v>9</v>
      </c>
      <c r="S151" s="160">
        <v>0</v>
      </c>
      <c r="T151" s="160">
        <v>0</v>
      </c>
      <c r="U151" s="160">
        <v>0</v>
      </c>
      <c r="V151" s="160">
        <v>0</v>
      </c>
      <c r="W151" s="160">
        <v>0</v>
      </c>
      <c r="X151" s="160">
        <v>0</v>
      </c>
      <c r="Y151" s="160">
        <v>0</v>
      </c>
      <c r="Z151" s="160">
        <v>79.094444444444449</v>
      </c>
      <c r="AA151" s="160">
        <v>128.92777777777778</v>
      </c>
      <c r="AB151" s="160">
        <v>205.1</v>
      </c>
      <c r="AC151" s="160">
        <v>197.65</v>
      </c>
      <c r="AD151" s="160">
        <v>209.11666666666667</v>
      </c>
      <c r="AE151" s="160">
        <v>161.86111111111111</v>
      </c>
      <c r="AF151" s="160">
        <v>0</v>
      </c>
      <c r="AG151" s="160">
        <v>208.02222222222224</v>
      </c>
      <c r="AH151" s="160">
        <v>773.72777777777776</v>
      </c>
      <c r="AI151" s="160">
        <v>208.02222222222224</v>
      </c>
      <c r="AJ151" s="160">
        <v>981.75</v>
      </c>
      <c r="AK151" s="160">
        <v>981.75</v>
      </c>
      <c r="AL151" s="161">
        <v>177.92777777777778</v>
      </c>
      <c r="AM151" s="161">
        <v>7.2277777777777779</v>
      </c>
      <c r="AN151" s="161">
        <v>185.15555555555557</v>
      </c>
      <c r="AO151" s="161">
        <v>988.97777777777776</v>
      </c>
      <c r="AP151" s="162">
        <v>0</v>
      </c>
      <c r="AQ151" s="168">
        <v>0</v>
      </c>
      <c r="AR151" s="160">
        <v>0</v>
      </c>
      <c r="AS151" s="160">
        <v>0</v>
      </c>
      <c r="AT151" s="160">
        <v>0</v>
      </c>
      <c r="AU151" s="160">
        <v>0</v>
      </c>
      <c r="AV151" s="160">
        <v>0</v>
      </c>
      <c r="AW151" s="160">
        <v>59</v>
      </c>
      <c r="AX151" s="160">
        <v>101</v>
      </c>
      <c r="AY151" s="160">
        <v>157</v>
      </c>
      <c r="AZ151" s="160">
        <v>191</v>
      </c>
      <c r="BA151" s="160">
        <v>217</v>
      </c>
      <c r="BB151" s="160">
        <v>198</v>
      </c>
      <c r="BC151" s="160">
        <v>0</v>
      </c>
      <c r="BD151" s="160">
        <v>160</v>
      </c>
      <c r="BE151" s="160">
        <v>763</v>
      </c>
      <c r="BF151" s="160">
        <v>160</v>
      </c>
      <c r="BG151" s="160">
        <v>923</v>
      </c>
      <c r="BH151" s="160">
        <v>923</v>
      </c>
      <c r="BI151" s="160">
        <v>0</v>
      </c>
      <c r="BJ151" s="160">
        <v>0</v>
      </c>
      <c r="BK151" s="160">
        <v>0</v>
      </c>
      <c r="BL151" s="160">
        <v>135</v>
      </c>
      <c r="BM151" s="160">
        <v>166</v>
      </c>
      <c r="BN151" s="162">
        <v>9</v>
      </c>
      <c r="BO151" s="162">
        <v>175</v>
      </c>
      <c r="BP151" s="162">
        <v>29</v>
      </c>
      <c r="BQ151" s="163">
        <v>8.7423750462570671E-2</v>
      </c>
      <c r="BR151" s="164">
        <v>82.582999999999998</v>
      </c>
      <c r="BS151" s="164">
        <v>82.582999999999998</v>
      </c>
      <c r="BT151" s="164">
        <v>76.582999999999998</v>
      </c>
      <c r="BU151" s="164">
        <v>76.582999999999998</v>
      </c>
      <c r="BV151" s="165">
        <v>974</v>
      </c>
      <c r="BW151" s="165">
        <v>464</v>
      </c>
      <c r="BX151" s="166">
        <v>668.2</v>
      </c>
      <c r="BY151" s="166">
        <v>0</v>
      </c>
      <c r="BZ151" s="166">
        <v>0</v>
      </c>
      <c r="CA151" s="166">
        <v>0</v>
      </c>
      <c r="CB151" s="166">
        <v>0</v>
      </c>
      <c r="CC151" s="166">
        <v>0</v>
      </c>
      <c r="CD151" s="166">
        <v>0</v>
      </c>
      <c r="CE151" s="166">
        <v>0</v>
      </c>
      <c r="CF151" s="166">
        <v>0</v>
      </c>
      <c r="CG151" s="166">
        <v>0</v>
      </c>
      <c r="CH151" s="166">
        <v>68.5</v>
      </c>
      <c r="CI151" s="166">
        <v>121.16666666666667</v>
      </c>
      <c r="CJ151" s="166">
        <v>183.37222222222223</v>
      </c>
      <c r="CK151" s="166">
        <v>210.1</v>
      </c>
      <c r="CL151" s="166">
        <v>213.6</v>
      </c>
      <c r="CM151" s="166">
        <v>174.73888888888888</v>
      </c>
      <c r="CN151" s="166">
        <v>0</v>
      </c>
      <c r="CO151" s="166">
        <v>189.66666666666669</v>
      </c>
      <c r="CP151" s="166">
        <v>781.81111111111113</v>
      </c>
      <c r="CQ151" s="166">
        <v>189.66666666666669</v>
      </c>
      <c r="CR151" s="166">
        <v>971.47777777777787</v>
      </c>
      <c r="CS151" s="166">
        <v>971.47777777777787</v>
      </c>
      <c r="CT151" s="166">
        <v>195.85</v>
      </c>
      <c r="CU151" s="166">
        <v>9.2333333333333307</v>
      </c>
      <c r="CV151" s="166">
        <v>205.08333333333331</v>
      </c>
      <c r="CW151" s="166">
        <v>980.71111111111122</v>
      </c>
      <c r="CX151" s="166">
        <v>711.338888</v>
      </c>
      <c r="CY151" s="166">
        <v>0</v>
      </c>
      <c r="CZ151" s="165">
        <v>0</v>
      </c>
      <c r="DA151" s="165">
        <v>0</v>
      </c>
      <c r="DB151" s="165">
        <v>0</v>
      </c>
      <c r="DC151" s="165">
        <v>0</v>
      </c>
      <c r="DD151" s="165">
        <v>0</v>
      </c>
      <c r="DE151" s="165">
        <v>0</v>
      </c>
      <c r="DF151" s="165">
        <v>0</v>
      </c>
      <c r="DG151" s="165">
        <v>0</v>
      </c>
      <c r="DH151" s="165">
        <v>50</v>
      </c>
      <c r="DI151" s="165">
        <v>101</v>
      </c>
      <c r="DJ151" s="165">
        <v>141</v>
      </c>
      <c r="DK151" s="165">
        <v>167</v>
      </c>
      <c r="DL151" s="165">
        <v>251</v>
      </c>
      <c r="DM151" s="165">
        <v>191</v>
      </c>
      <c r="DN151" s="165">
        <v>0</v>
      </c>
      <c r="DO151" s="165">
        <v>151</v>
      </c>
      <c r="DP151" s="165">
        <v>750</v>
      </c>
      <c r="DQ151" s="165">
        <v>151</v>
      </c>
      <c r="DR151" s="165">
        <v>901</v>
      </c>
      <c r="DS151" s="165">
        <v>901</v>
      </c>
      <c r="DT151" s="165">
        <v>0</v>
      </c>
      <c r="DU151" s="165">
        <v>153</v>
      </c>
      <c r="DV151" s="165">
        <v>177</v>
      </c>
      <c r="DW151" s="165">
        <v>1</v>
      </c>
      <c r="DX151" s="165">
        <v>178</v>
      </c>
      <c r="DY151" s="165">
        <v>902</v>
      </c>
      <c r="DZ151" s="165">
        <v>27</v>
      </c>
      <c r="EA151" s="166">
        <v>87.097000000000008</v>
      </c>
      <c r="EB151" s="166">
        <v>87.097000000000008</v>
      </c>
      <c r="EC151" s="166">
        <v>0</v>
      </c>
      <c r="ED151" s="166">
        <v>74.021999999999991</v>
      </c>
      <c r="EE151" s="166">
        <v>0</v>
      </c>
      <c r="EF151" s="166">
        <v>88.096999999999994</v>
      </c>
      <c r="EG151" s="167">
        <v>8.6979379636661081E-2</v>
      </c>
      <c r="EH151" s="165"/>
      <c r="EI151" s="165">
        <v>0</v>
      </c>
      <c r="EJ151" s="165">
        <v>901</v>
      </c>
      <c r="EK151" s="165">
        <v>0</v>
      </c>
      <c r="EL151" s="165">
        <v>156</v>
      </c>
      <c r="EM151" s="165">
        <v>745</v>
      </c>
      <c r="EN151" s="165">
        <v>901</v>
      </c>
      <c r="EO151" s="165">
        <v>0</v>
      </c>
      <c r="EP151" s="165">
        <v>174</v>
      </c>
      <c r="EQ151" s="165">
        <v>174</v>
      </c>
      <c r="ER151" s="165">
        <v>174</v>
      </c>
      <c r="ES151" s="165">
        <v>0</v>
      </c>
      <c r="ET151" s="165">
        <v>4</v>
      </c>
      <c r="EU151" s="166">
        <v>7.7</v>
      </c>
      <c r="EV151" s="166">
        <v>0</v>
      </c>
      <c r="EW151" s="166">
        <v>10.488</v>
      </c>
      <c r="EX151" s="166">
        <v>0.75</v>
      </c>
      <c r="EY151" s="166">
        <v>0</v>
      </c>
      <c r="EZ151" s="166">
        <v>18.937999999999999</v>
      </c>
      <c r="FA151" s="166">
        <v>0</v>
      </c>
      <c r="FB151" s="166">
        <v>0</v>
      </c>
      <c r="FC151" s="166">
        <v>0</v>
      </c>
      <c r="FD151" s="166">
        <v>0</v>
      </c>
      <c r="FE151" s="166">
        <v>0</v>
      </c>
      <c r="FF151" s="166">
        <v>0</v>
      </c>
      <c r="FG151" s="166">
        <v>0</v>
      </c>
      <c r="FH151" s="166">
        <v>0</v>
      </c>
      <c r="FI151" s="166">
        <v>0</v>
      </c>
      <c r="FJ151" s="166">
        <v>54.766666666666666</v>
      </c>
      <c r="FK151" s="166">
        <v>115.58888888888889</v>
      </c>
      <c r="FL151" s="166">
        <v>156.94999999999999</v>
      </c>
      <c r="FM151" s="166">
        <v>178.9</v>
      </c>
      <c r="FN151" s="166">
        <v>225.92777777777778</v>
      </c>
      <c r="FO151" s="166">
        <v>170.32777777777778</v>
      </c>
      <c r="FP151" s="166">
        <v>0</v>
      </c>
      <c r="FQ151" s="166">
        <v>170.35555555555555</v>
      </c>
      <c r="FR151" s="166">
        <v>732.10555555555561</v>
      </c>
      <c r="FS151" s="166">
        <v>170.35555555555555</v>
      </c>
      <c r="FT151" s="166">
        <v>902.46111111111111</v>
      </c>
      <c r="FU151" s="166">
        <v>902.46111111111111</v>
      </c>
      <c r="FV151" s="166">
        <v>184.57222222222222</v>
      </c>
      <c r="FW151" s="166">
        <v>0.98333333333333328</v>
      </c>
      <c r="FX151" s="166">
        <v>185.55555555555554</v>
      </c>
      <c r="FY151" s="166">
        <v>903.44444444444446</v>
      </c>
      <c r="FZ151" s="165">
        <v>0</v>
      </c>
      <c r="GA151" s="165">
        <v>0</v>
      </c>
      <c r="GB151" s="165">
        <v>0</v>
      </c>
      <c r="GC151" s="165">
        <v>0</v>
      </c>
      <c r="GD151" s="165">
        <v>0</v>
      </c>
      <c r="GE151" s="165">
        <v>0</v>
      </c>
      <c r="GF151" s="165">
        <v>0</v>
      </c>
      <c r="GG151" s="165">
        <v>0</v>
      </c>
      <c r="GH151" s="165">
        <v>0</v>
      </c>
      <c r="GI151" s="165">
        <v>46</v>
      </c>
      <c r="GJ151" s="165">
        <v>98</v>
      </c>
      <c r="GK151" s="165">
        <v>159</v>
      </c>
      <c r="GL151" s="165">
        <v>174</v>
      </c>
      <c r="GM151" s="165">
        <v>209</v>
      </c>
      <c r="GN151" s="165">
        <v>192</v>
      </c>
      <c r="GO151" s="165">
        <v>0</v>
      </c>
      <c r="GP151" s="165">
        <v>144</v>
      </c>
      <c r="GQ151" s="165">
        <v>734</v>
      </c>
      <c r="GR151" s="165">
        <v>144</v>
      </c>
      <c r="GS151" s="165">
        <v>878</v>
      </c>
      <c r="GT151" s="165">
        <v>878</v>
      </c>
      <c r="GU151" s="165">
        <v>0</v>
      </c>
      <c r="GV151" s="165">
        <v>140</v>
      </c>
      <c r="GW151" s="165">
        <v>192</v>
      </c>
      <c r="GX151" s="165">
        <v>0</v>
      </c>
      <c r="GY151" s="165">
        <v>192</v>
      </c>
      <c r="GZ151" s="165">
        <v>878</v>
      </c>
      <c r="HA151" s="165">
        <v>30</v>
      </c>
      <c r="HB151" s="166">
        <v>87.366</v>
      </c>
      <c r="HC151" s="166">
        <v>85.366</v>
      </c>
      <c r="HD151" s="166">
        <v>0</v>
      </c>
      <c r="HE151" s="166">
        <v>71.725999999999999</v>
      </c>
      <c r="HF151" s="166"/>
      <c r="HG151" s="166">
        <v>86.866</v>
      </c>
      <c r="HH151" s="166">
        <v>0</v>
      </c>
      <c r="HI151" s="166">
        <v>189</v>
      </c>
      <c r="HJ151" s="166">
        <v>189</v>
      </c>
      <c r="HK151" s="166">
        <v>189</v>
      </c>
      <c r="HL151" s="166">
        <v>0</v>
      </c>
      <c r="HM151" s="166">
        <v>5</v>
      </c>
      <c r="HN151" s="166">
        <v>0</v>
      </c>
      <c r="HO151" s="166">
        <v>905</v>
      </c>
      <c r="HP151" s="166">
        <v>0</v>
      </c>
      <c r="HQ151" s="166">
        <v>140</v>
      </c>
      <c r="HR151" s="166">
        <v>765</v>
      </c>
      <c r="HS151" s="166">
        <v>905</v>
      </c>
      <c r="HT151" s="166">
        <f>FY26_FE_Data_April15[[#This Row],[Oct 1, 2026 (CDC) - K]]+FY26_FE_Data_April15[[#This Row],[Oct 1, 2026 (CDC) - Grades 1-6]]+FY26_FE_Data_April15[[#This Row],[Oct 1, 2026 (CDC) - Grades 7-8]]</f>
        <v>140</v>
      </c>
      <c r="HU151" s="166">
        <v>726.8</v>
      </c>
      <c r="HW151" s="170"/>
      <c r="HY151" s="170"/>
    </row>
    <row r="152" spans="1:233" ht="26">
      <c r="A152" s="158" t="s">
        <v>667</v>
      </c>
      <c r="B152" s="159" t="s">
        <v>668</v>
      </c>
      <c r="C152" s="160" t="s">
        <v>669</v>
      </c>
      <c r="D152" s="160" t="s">
        <v>139</v>
      </c>
      <c r="E152" s="159" t="s">
        <v>784</v>
      </c>
      <c r="F152" s="159" t="s">
        <v>784</v>
      </c>
      <c r="G152" s="159"/>
      <c r="H152" s="161">
        <v>40.68333333333333</v>
      </c>
      <c r="I152" s="161">
        <v>2.9444444444444446</v>
      </c>
      <c r="J152" s="161">
        <v>43.627777777777773</v>
      </c>
      <c r="K152" s="162">
        <v>0</v>
      </c>
      <c r="L152" s="162">
        <v>0</v>
      </c>
      <c r="M152" s="162">
        <v>0</v>
      </c>
      <c r="N152" s="162">
        <v>182</v>
      </c>
      <c r="O152" s="162">
        <v>182</v>
      </c>
      <c r="P152" s="162">
        <v>182</v>
      </c>
      <c r="Q152" s="162">
        <v>0</v>
      </c>
      <c r="R152" s="162">
        <v>3</v>
      </c>
      <c r="S152" s="160">
        <v>0</v>
      </c>
      <c r="T152" s="160">
        <v>0</v>
      </c>
      <c r="U152" s="160">
        <v>0</v>
      </c>
      <c r="V152" s="160">
        <v>0</v>
      </c>
      <c r="W152" s="160">
        <v>0</v>
      </c>
      <c r="X152" s="160">
        <v>0</v>
      </c>
      <c r="Y152" s="160">
        <v>0</v>
      </c>
      <c r="Z152" s="160">
        <v>0</v>
      </c>
      <c r="AA152" s="160">
        <v>0</v>
      </c>
      <c r="AB152" s="160">
        <v>25.1</v>
      </c>
      <c r="AC152" s="160">
        <v>45.416666666666664</v>
      </c>
      <c r="AD152" s="160">
        <v>63.43888888888889</v>
      </c>
      <c r="AE152" s="160">
        <v>45.155555555555559</v>
      </c>
      <c r="AF152" s="160">
        <v>0</v>
      </c>
      <c r="AG152" s="160">
        <v>0</v>
      </c>
      <c r="AH152" s="160">
        <v>179.11111111111111</v>
      </c>
      <c r="AI152" s="160">
        <v>0</v>
      </c>
      <c r="AJ152" s="160">
        <v>179.11111111111111</v>
      </c>
      <c r="AK152" s="160">
        <v>179.11111111111111</v>
      </c>
      <c r="AL152" s="161">
        <v>43.7</v>
      </c>
      <c r="AM152" s="161">
        <v>2.2555555555555555</v>
      </c>
      <c r="AN152" s="161">
        <v>45.955555555555556</v>
      </c>
      <c r="AO152" s="161">
        <v>181.36666666666667</v>
      </c>
      <c r="AP152" s="162">
        <v>0</v>
      </c>
      <c r="AQ152" s="168">
        <v>0</v>
      </c>
      <c r="AR152" s="160">
        <v>0</v>
      </c>
      <c r="AS152" s="160">
        <v>0</v>
      </c>
      <c r="AT152" s="160">
        <v>0</v>
      </c>
      <c r="AU152" s="160">
        <v>0</v>
      </c>
      <c r="AV152" s="160">
        <v>0</v>
      </c>
      <c r="AW152" s="160">
        <v>0</v>
      </c>
      <c r="AX152" s="160">
        <v>0</v>
      </c>
      <c r="AY152" s="160">
        <v>27</v>
      </c>
      <c r="AZ152" s="160">
        <v>39</v>
      </c>
      <c r="BA152" s="160">
        <v>57</v>
      </c>
      <c r="BB152" s="160">
        <v>45</v>
      </c>
      <c r="BC152" s="160">
        <v>0</v>
      </c>
      <c r="BD152" s="160">
        <v>0</v>
      </c>
      <c r="BE152" s="160">
        <v>168</v>
      </c>
      <c r="BF152" s="160">
        <v>0</v>
      </c>
      <c r="BG152" s="160">
        <v>168</v>
      </c>
      <c r="BH152" s="160">
        <v>168</v>
      </c>
      <c r="BI152" s="160">
        <v>0</v>
      </c>
      <c r="BJ152" s="160">
        <v>0</v>
      </c>
      <c r="BK152" s="160">
        <v>0</v>
      </c>
      <c r="BL152" s="160">
        <v>15</v>
      </c>
      <c r="BM152" s="160">
        <v>38</v>
      </c>
      <c r="BN152" s="162">
        <v>1</v>
      </c>
      <c r="BO152" s="162">
        <v>39</v>
      </c>
      <c r="BP152" s="162">
        <v>0</v>
      </c>
      <c r="BQ152" s="163">
        <v>8.3333333333333315E-2</v>
      </c>
      <c r="BR152" s="164">
        <v>15.793000000000001</v>
      </c>
      <c r="BS152" s="164">
        <v>14.293000000000001</v>
      </c>
      <c r="BT152" s="164">
        <v>13.793000000000001</v>
      </c>
      <c r="BU152" s="164">
        <v>15.293000000000001</v>
      </c>
      <c r="BV152" s="165">
        <v>0</v>
      </c>
      <c r="BW152" s="165">
        <v>0</v>
      </c>
      <c r="BX152" s="166">
        <v>0</v>
      </c>
      <c r="BY152" s="166">
        <v>0</v>
      </c>
      <c r="BZ152" s="166">
        <v>0</v>
      </c>
      <c r="CA152" s="166">
        <v>0</v>
      </c>
      <c r="CB152" s="166">
        <v>0</v>
      </c>
      <c r="CC152" s="166">
        <v>0</v>
      </c>
      <c r="CD152" s="166">
        <v>0</v>
      </c>
      <c r="CE152" s="166">
        <v>0</v>
      </c>
      <c r="CF152" s="166">
        <v>0</v>
      </c>
      <c r="CG152" s="166">
        <v>0</v>
      </c>
      <c r="CH152" s="166">
        <v>0</v>
      </c>
      <c r="CI152" s="166">
        <v>0</v>
      </c>
      <c r="CJ152" s="166">
        <v>26.777777777777779</v>
      </c>
      <c r="CK152" s="166">
        <v>34.511111111111113</v>
      </c>
      <c r="CL152" s="166">
        <v>50.633333333333333</v>
      </c>
      <c r="CM152" s="166">
        <v>40.1</v>
      </c>
      <c r="CN152" s="166">
        <v>0</v>
      </c>
      <c r="CO152" s="166">
        <v>0</v>
      </c>
      <c r="CP152" s="166">
        <v>152.02222222222221</v>
      </c>
      <c r="CQ152" s="166">
        <v>0</v>
      </c>
      <c r="CR152" s="166">
        <v>152.02222222222221</v>
      </c>
      <c r="CS152" s="166">
        <v>152.02222222222221</v>
      </c>
      <c r="CT152" s="166">
        <v>38.1944444444444</v>
      </c>
      <c r="CU152" s="166">
        <v>1.75555555555556</v>
      </c>
      <c r="CV152" s="166">
        <v>39.94999999999996</v>
      </c>
      <c r="CW152" s="166">
        <v>153.77777777777777</v>
      </c>
      <c r="CX152" s="166">
        <v>0</v>
      </c>
      <c r="CY152" s="166">
        <v>0</v>
      </c>
      <c r="CZ152" s="165">
        <v>0</v>
      </c>
      <c r="DA152" s="165">
        <v>0</v>
      </c>
      <c r="DB152" s="165">
        <v>0</v>
      </c>
      <c r="DC152" s="165">
        <v>0</v>
      </c>
      <c r="DD152" s="165">
        <v>0</v>
      </c>
      <c r="DE152" s="165">
        <v>0</v>
      </c>
      <c r="DF152" s="165">
        <v>0</v>
      </c>
      <c r="DG152" s="165">
        <v>0</v>
      </c>
      <c r="DH152" s="165">
        <v>0</v>
      </c>
      <c r="DI152" s="165">
        <v>0</v>
      </c>
      <c r="DJ152" s="165">
        <v>19</v>
      </c>
      <c r="DK152" s="165">
        <v>36</v>
      </c>
      <c r="DL152" s="165">
        <v>48</v>
      </c>
      <c r="DM152" s="165">
        <v>45</v>
      </c>
      <c r="DN152" s="165">
        <v>0</v>
      </c>
      <c r="DO152" s="165">
        <v>0</v>
      </c>
      <c r="DP152" s="165">
        <v>148</v>
      </c>
      <c r="DQ152" s="165">
        <v>0</v>
      </c>
      <c r="DR152" s="165">
        <v>148</v>
      </c>
      <c r="DS152" s="165">
        <v>148</v>
      </c>
      <c r="DT152" s="165">
        <v>0</v>
      </c>
      <c r="DU152" s="165">
        <v>11</v>
      </c>
      <c r="DV152" s="165">
        <v>43</v>
      </c>
      <c r="DW152" s="165">
        <v>2</v>
      </c>
      <c r="DX152" s="165">
        <v>45</v>
      </c>
      <c r="DY152" s="165">
        <v>150</v>
      </c>
      <c r="DZ152" s="165">
        <v>0</v>
      </c>
      <c r="EA152" s="166">
        <v>13.5</v>
      </c>
      <c r="EB152" s="166">
        <v>11.7575</v>
      </c>
      <c r="EC152" s="166">
        <v>0</v>
      </c>
      <c r="ED152" s="166">
        <v>10.389000000000001</v>
      </c>
      <c r="EE152" s="166">
        <v>0</v>
      </c>
      <c r="EF152" s="166">
        <v>14</v>
      </c>
      <c r="EG152" s="167">
        <v>6.3077722693107297E-2</v>
      </c>
      <c r="EH152" s="165"/>
      <c r="EI152" s="165">
        <v>0</v>
      </c>
      <c r="EJ152" s="165">
        <v>148</v>
      </c>
      <c r="EK152" s="165">
        <v>0</v>
      </c>
      <c r="EL152" s="165">
        <v>0</v>
      </c>
      <c r="EM152" s="165">
        <v>148</v>
      </c>
      <c r="EN152" s="165">
        <v>148</v>
      </c>
      <c r="EO152" s="165">
        <v>0</v>
      </c>
      <c r="EP152" s="165">
        <v>43</v>
      </c>
      <c r="EQ152" s="165">
        <v>43</v>
      </c>
      <c r="ER152" s="165">
        <v>42</v>
      </c>
      <c r="ES152" s="165">
        <v>1</v>
      </c>
      <c r="ET152" s="165">
        <v>1</v>
      </c>
      <c r="EU152" s="166">
        <v>3.25</v>
      </c>
      <c r="EV152" s="166">
        <v>0</v>
      </c>
      <c r="EW152" s="166">
        <v>2.5</v>
      </c>
      <c r="EX152" s="166">
        <v>0</v>
      </c>
      <c r="EY152" s="166">
        <v>0</v>
      </c>
      <c r="EZ152" s="166">
        <v>5.75</v>
      </c>
      <c r="FA152" s="166">
        <v>0</v>
      </c>
      <c r="FB152" s="166">
        <v>0</v>
      </c>
      <c r="FC152" s="166">
        <v>0</v>
      </c>
      <c r="FD152" s="166">
        <v>0</v>
      </c>
      <c r="FE152" s="166">
        <v>0</v>
      </c>
      <c r="FF152" s="166">
        <v>0</v>
      </c>
      <c r="FG152" s="166">
        <v>0</v>
      </c>
      <c r="FH152" s="166">
        <v>0</v>
      </c>
      <c r="FI152" s="166">
        <v>0</v>
      </c>
      <c r="FJ152" s="166">
        <v>0</v>
      </c>
      <c r="FK152" s="166">
        <v>0</v>
      </c>
      <c r="FL152" s="166">
        <v>19.133333333333333</v>
      </c>
      <c r="FM152" s="166">
        <v>35.62222222222222</v>
      </c>
      <c r="FN152" s="166">
        <v>45.027777777777779</v>
      </c>
      <c r="FO152" s="166">
        <v>41.944444444444443</v>
      </c>
      <c r="FP152" s="166">
        <v>0</v>
      </c>
      <c r="FQ152" s="166">
        <v>0</v>
      </c>
      <c r="FR152" s="166">
        <v>141.72777777777776</v>
      </c>
      <c r="FS152" s="166">
        <v>0</v>
      </c>
      <c r="FT152" s="166">
        <v>141.72777777777776</v>
      </c>
      <c r="FU152" s="166">
        <v>141.72777777777776</v>
      </c>
      <c r="FV152" s="166">
        <v>42.855555555555554</v>
      </c>
      <c r="FW152" s="166">
        <v>1.5055555555555555</v>
      </c>
      <c r="FX152" s="166">
        <v>44.361111111111107</v>
      </c>
      <c r="FY152" s="166">
        <v>143.23333333333332</v>
      </c>
      <c r="FZ152" s="165">
        <v>0</v>
      </c>
      <c r="GA152" s="165">
        <v>0</v>
      </c>
      <c r="GB152" s="165">
        <v>0</v>
      </c>
      <c r="GC152" s="165">
        <v>0</v>
      </c>
      <c r="GD152" s="165">
        <v>0</v>
      </c>
      <c r="GE152" s="165">
        <v>0</v>
      </c>
      <c r="GF152" s="165">
        <v>0</v>
      </c>
      <c r="GG152" s="165">
        <v>0</v>
      </c>
      <c r="GH152" s="165">
        <v>0</v>
      </c>
      <c r="GI152" s="165">
        <v>0</v>
      </c>
      <c r="GJ152" s="165">
        <v>0</v>
      </c>
      <c r="GK152" s="165">
        <v>16</v>
      </c>
      <c r="GL152" s="165">
        <v>36</v>
      </c>
      <c r="GM152" s="165">
        <v>47</v>
      </c>
      <c r="GN152" s="165">
        <v>37</v>
      </c>
      <c r="GO152" s="165">
        <v>0</v>
      </c>
      <c r="GP152" s="165">
        <v>0</v>
      </c>
      <c r="GQ152" s="165">
        <v>136</v>
      </c>
      <c r="GR152" s="165">
        <v>0</v>
      </c>
      <c r="GS152" s="165">
        <v>136</v>
      </c>
      <c r="GT152" s="165">
        <v>136</v>
      </c>
      <c r="GU152" s="165">
        <v>0</v>
      </c>
      <c r="GV152" s="165">
        <v>13</v>
      </c>
      <c r="GW152" s="165">
        <v>41</v>
      </c>
      <c r="GX152" s="165">
        <v>2</v>
      </c>
      <c r="GY152" s="165">
        <v>43</v>
      </c>
      <c r="GZ152" s="165">
        <v>138</v>
      </c>
      <c r="HA152" s="165">
        <v>4</v>
      </c>
      <c r="HB152" s="166">
        <v>14.5</v>
      </c>
      <c r="HC152" s="166">
        <v>12.5</v>
      </c>
      <c r="HD152" s="166">
        <v>0</v>
      </c>
      <c r="HE152" s="166">
        <v>11.05</v>
      </c>
      <c r="HF152" s="166"/>
      <c r="HG152" s="166">
        <v>15</v>
      </c>
      <c r="HH152" s="166">
        <v>0</v>
      </c>
      <c r="HI152" s="166">
        <v>46</v>
      </c>
      <c r="HJ152" s="166">
        <v>46</v>
      </c>
      <c r="HK152" s="166">
        <v>45</v>
      </c>
      <c r="HL152" s="166">
        <v>1</v>
      </c>
      <c r="HM152" s="166">
        <v>1</v>
      </c>
      <c r="HN152" s="166">
        <v>0</v>
      </c>
      <c r="HO152" s="166">
        <v>146</v>
      </c>
      <c r="HP152" s="166">
        <v>0</v>
      </c>
      <c r="HQ152" s="166">
        <v>0</v>
      </c>
      <c r="HR152" s="166">
        <v>146</v>
      </c>
      <c r="HS152" s="166">
        <v>146</v>
      </c>
      <c r="HT152" s="166">
        <f>FY26_FE_Data_April15[[#This Row],[Oct 1, 2026 (CDC) - K]]+FY26_FE_Data_April15[[#This Row],[Oct 1, 2026 (CDC) - Grades 1-6]]+FY26_FE_Data_April15[[#This Row],[Oct 1, 2026 (CDC) - Grades 7-8]]</f>
        <v>0</v>
      </c>
      <c r="HU152" s="166">
        <v>0</v>
      </c>
      <c r="HW152" s="170"/>
      <c r="HY152" s="170"/>
    </row>
    <row r="153" spans="1:233" ht="39">
      <c r="A153" s="158" t="s">
        <v>670</v>
      </c>
      <c r="B153" s="159" t="s">
        <v>671</v>
      </c>
      <c r="C153" s="160" t="s">
        <v>672</v>
      </c>
      <c r="D153" s="160" t="s">
        <v>139</v>
      </c>
      <c r="E153" s="159" t="s">
        <v>784</v>
      </c>
      <c r="F153" s="159" t="s">
        <v>784</v>
      </c>
      <c r="G153" s="159"/>
      <c r="H153" s="161">
        <v>52.461111111111109</v>
      </c>
      <c r="I153" s="161">
        <v>1</v>
      </c>
      <c r="J153" s="161">
        <v>53.461111111111109</v>
      </c>
      <c r="K153" s="162">
        <v>14</v>
      </c>
      <c r="L153" s="162">
        <v>137</v>
      </c>
      <c r="M153" s="162">
        <v>76</v>
      </c>
      <c r="N153" s="162">
        <v>155</v>
      </c>
      <c r="O153" s="162">
        <v>382</v>
      </c>
      <c r="P153" s="162">
        <v>368</v>
      </c>
      <c r="Q153" s="162">
        <v>227</v>
      </c>
      <c r="R153" s="162">
        <v>1</v>
      </c>
      <c r="S153" s="160">
        <v>13.383333333333333</v>
      </c>
      <c r="T153" s="160">
        <v>14.694444444444445</v>
      </c>
      <c r="U153" s="160">
        <v>17.722222222222221</v>
      </c>
      <c r="V153" s="160">
        <v>18.783333333333335</v>
      </c>
      <c r="W153" s="160">
        <v>25.905555555555555</v>
      </c>
      <c r="X153" s="160">
        <v>25.527777777777779</v>
      </c>
      <c r="Y153" s="160">
        <v>30.588888888888889</v>
      </c>
      <c r="Z153" s="160">
        <v>33.56666666666667</v>
      </c>
      <c r="AA153" s="160">
        <v>42.727777777777774</v>
      </c>
      <c r="AB153" s="160">
        <v>41.661111111111111</v>
      </c>
      <c r="AC153" s="160">
        <v>27.505555555555556</v>
      </c>
      <c r="AD153" s="160">
        <v>38.961111111111109</v>
      </c>
      <c r="AE153" s="160">
        <v>41.43333333333333</v>
      </c>
      <c r="AF153" s="160">
        <v>133.22222222222223</v>
      </c>
      <c r="AG153" s="160">
        <v>76.294444444444451</v>
      </c>
      <c r="AH153" s="160">
        <v>149.5611111111111</v>
      </c>
      <c r="AI153" s="160">
        <v>222.89999999999998</v>
      </c>
      <c r="AJ153" s="160">
        <v>359.07777777777773</v>
      </c>
      <c r="AK153" s="160">
        <v>372.46111111111105</v>
      </c>
      <c r="AL153" s="161">
        <v>67.466666666666669</v>
      </c>
      <c r="AM153" s="161">
        <v>1</v>
      </c>
      <c r="AN153" s="161">
        <v>68.466666666666669</v>
      </c>
      <c r="AO153" s="161">
        <v>373.46111111111105</v>
      </c>
      <c r="AP153" s="162">
        <v>19</v>
      </c>
      <c r="AQ153" s="168">
        <v>14</v>
      </c>
      <c r="AR153" s="160">
        <v>21</v>
      </c>
      <c r="AS153" s="160">
        <v>26</v>
      </c>
      <c r="AT153" s="160">
        <v>36</v>
      </c>
      <c r="AU153" s="160">
        <v>35</v>
      </c>
      <c r="AV153" s="160">
        <v>38</v>
      </c>
      <c r="AW153" s="160">
        <v>46</v>
      </c>
      <c r="AX153" s="160">
        <v>55</v>
      </c>
      <c r="AY153" s="160">
        <v>58</v>
      </c>
      <c r="AZ153" s="160">
        <v>62</v>
      </c>
      <c r="BA153" s="160">
        <v>34</v>
      </c>
      <c r="BB153" s="160">
        <v>32</v>
      </c>
      <c r="BC153" s="160">
        <v>170</v>
      </c>
      <c r="BD153" s="160">
        <v>101</v>
      </c>
      <c r="BE153" s="160">
        <v>186</v>
      </c>
      <c r="BF153" s="160">
        <v>290</v>
      </c>
      <c r="BG153" s="160">
        <v>457</v>
      </c>
      <c r="BH153" s="160">
        <v>476</v>
      </c>
      <c r="BI153" s="160">
        <v>19</v>
      </c>
      <c r="BJ153" s="160">
        <v>0</v>
      </c>
      <c r="BK153" s="160">
        <v>0</v>
      </c>
      <c r="BL153" s="160">
        <v>36</v>
      </c>
      <c r="BM153" s="160">
        <v>81</v>
      </c>
      <c r="BN153" s="162">
        <v>0</v>
      </c>
      <c r="BO153" s="162">
        <v>81</v>
      </c>
      <c r="BP153" s="162">
        <v>7</v>
      </c>
      <c r="BQ153" s="163">
        <v>7.9577354260089717E-2</v>
      </c>
      <c r="BR153" s="164">
        <v>36.995999999999995</v>
      </c>
      <c r="BS153" s="164">
        <v>34.995999999999995</v>
      </c>
      <c r="BT153" s="164">
        <v>34.496000000000002</v>
      </c>
      <c r="BU153" s="164">
        <v>36.495999999999995</v>
      </c>
      <c r="BV153" s="165">
        <v>395</v>
      </c>
      <c r="BW153" s="165">
        <v>263</v>
      </c>
      <c r="BX153" s="166">
        <v>330.67777699999999</v>
      </c>
      <c r="BY153" s="166">
        <v>0</v>
      </c>
      <c r="BZ153" s="166">
        <v>18.388888000000001</v>
      </c>
      <c r="CA153" s="166">
        <v>18.388888888888889</v>
      </c>
      <c r="CB153" s="166">
        <v>14.394444444444444</v>
      </c>
      <c r="CC153" s="166">
        <v>19.005555555555556</v>
      </c>
      <c r="CD153" s="166">
        <v>26.711111111111112</v>
      </c>
      <c r="CE153" s="166">
        <v>34.516666666666666</v>
      </c>
      <c r="CF153" s="166">
        <v>33.577777777777776</v>
      </c>
      <c r="CG153" s="166">
        <v>38.68333333333333</v>
      </c>
      <c r="CH153" s="166">
        <v>47.111111111111114</v>
      </c>
      <c r="CI153" s="166">
        <v>52.355555555555554</v>
      </c>
      <c r="CJ153" s="166">
        <v>56.572222222222223</v>
      </c>
      <c r="CK153" s="166">
        <v>58.677777777777777</v>
      </c>
      <c r="CL153" s="166">
        <v>32.227777777777774</v>
      </c>
      <c r="CM153" s="166">
        <v>29.75</v>
      </c>
      <c r="CN153" s="166">
        <v>166.88888888888889</v>
      </c>
      <c r="CO153" s="166">
        <v>99.466666666666669</v>
      </c>
      <c r="CP153" s="166">
        <v>177.22777777777776</v>
      </c>
      <c r="CQ153" s="166">
        <v>284.74444444444441</v>
      </c>
      <c r="CR153" s="166">
        <v>443.58333333333337</v>
      </c>
      <c r="CS153" s="166">
        <v>461.97222222222217</v>
      </c>
      <c r="CT153" s="166">
        <v>81.961111111111094</v>
      </c>
      <c r="CU153" s="166">
        <v>0</v>
      </c>
      <c r="CV153" s="166">
        <v>81.961111111111094</v>
      </c>
      <c r="CW153" s="166">
        <v>461.97222222222217</v>
      </c>
      <c r="CX153" s="166">
        <v>383.69444399999998</v>
      </c>
      <c r="CY153" s="166">
        <v>17</v>
      </c>
      <c r="CZ153" s="165">
        <v>0</v>
      </c>
      <c r="DA153" s="165">
        <v>17</v>
      </c>
      <c r="DB153" s="165">
        <v>19</v>
      </c>
      <c r="DC153" s="165">
        <v>15</v>
      </c>
      <c r="DD153" s="165">
        <v>19</v>
      </c>
      <c r="DE153" s="165">
        <v>29</v>
      </c>
      <c r="DF153" s="165">
        <v>29</v>
      </c>
      <c r="DG153" s="165">
        <v>45</v>
      </c>
      <c r="DH153" s="165">
        <v>55</v>
      </c>
      <c r="DI153" s="165">
        <v>49</v>
      </c>
      <c r="DJ153" s="165">
        <v>46</v>
      </c>
      <c r="DK153" s="165">
        <v>54</v>
      </c>
      <c r="DL153" s="165">
        <v>57</v>
      </c>
      <c r="DM153" s="165">
        <v>26</v>
      </c>
      <c r="DN153" s="165">
        <v>156</v>
      </c>
      <c r="DO153" s="165">
        <v>104</v>
      </c>
      <c r="DP153" s="165">
        <v>183</v>
      </c>
      <c r="DQ153" s="165">
        <v>277</v>
      </c>
      <c r="DR153" s="165">
        <v>443</v>
      </c>
      <c r="DS153" s="165">
        <v>460</v>
      </c>
      <c r="DT153" s="165">
        <v>0</v>
      </c>
      <c r="DU153" s="165">
        <v>81</v>
      </c>
      <c r="DV153" s="165">
        <v>88</v>
      </c>
      <c r="DW153" s="165">
        <v>0</v>
      </c>
      <c r="DX153" s="165">
        <v>88</v>
      </c>
      <c r="DY153" s="165">
        <v>460</v>
      </c>
      <c r="DZ153" s="165">
        <v>1</v>
      </c>
      <c r="EA153" s="166">
        <v>37.687999999999981</v>
      </c>
      <c r="EB153" s="166">
        <v>35.687999999999981</v>
      </c>
      <c r="EC153" s="166">
        <v>12.430000000000001</v>
      </c>
      <c r="ED153" s="166">
        <v>18.458000000000002</v>
      </c>
      <c r="EE153" s="166">
        <v>0</v>
      </c>
      <c r="EF153" s="166">
        <v>37.687999999999974</v>
      </c>
      <c r="EG153" s="167">
        <v>8.6204259815370998E-2</v>
      </c>
      <c r="EH153" s="165"/>
      <c r="EI153" s="165">
        <v>17</v>
      </c>
      <c r="EJ153" s="165">
        <v>442</v>
      </c>
      <c r="EK153" s="165">
        <v>142</v>
      </c>
      <c r="EL153" s="165">
        <v>99</v>
      </c>
      <c r="EM153" s="165">
        <v>201</v>
      </c>
      <c r="EN153" s="165">
        <v>459</v>
      </c>
      <c r="EO153" s="165">
        <v>0</v>
      </c>
      <c r="EP153" s="165">
        <v>93</v>
      </c>
      <c r="EQ153" s="165">
        <v>93</v>
      </c>
      <c r="ER153" s="165">
        <v>93</v>
      </c>
      <c r="ES153" s="165">
        <v>0</v>
      </c>
      <c r="ET153" s="165">
        <v>3</v>
      </c>
      <c r="EU153" s="166">
        <v>0.12</v>
      </c>
      <c r="EV153" s="166">
        <v>0</v>
      </c>
      <c r="EW153" s="166">
        <v>2.62</v>
      </c>
      <c r="EX153" s="166">
        <v>0</v>
      </c>
      <c r="EY153" s="166">
        <v>0</v>
      </c>
      <c r="EZ153" s="166">
        <v>2.74</v>
      </c>
      <c r="FA153" s="166">
        <v>0</v>
      </c>
      <c r="FB153" s="166">
        <v>17.816666666666666</v>
      </c>
      <c r="FC153" s="166">
        <v>17.816666666666666</v>
      </c>
      <c r="FD153" s="166">
        <v>19.011111111111113</v>
      </c>
      <c r="FE153" s="166">
        <v>16.427777777777777</v>
      </c>
      <c r="FF153" s="166">
        <v>20.944444444444443</v>
      </c>
      <c r="FG153" s="166">
        <v>27.266666666666666</v>
      </c>
      <c r="FH153" s="166">
        <v>29.794444444444444</v>
      </c>
      <c r="FI153" s="166">
        <v>45.93333333333333</v>
      </c>
      <c r="FJ153" s="166">
        <v>50.755555555555553</v>
      </c>
      <c r="FK153" s="166">
        <v>48.105555555555554</v>
      </c>
      <c r="FL153" s="166">
        <v>43.472222222222221</v>
      </c>
      <c r="FM153" s="166">
        <v>50.116666666666667</v>
      </c>
      <c r="FN153" s="166">
        <v>54.2</v>
      </c>
      <c r="FO153" s="166">
        <v>24.505555555555556</v>
      </c>
      <c r="FP153" s="166">
        <v>159.37777777777779</v>
      </c>
      <c r="FQ153" s="166">
        <v>98.861111111111114</v>
      </c>
      <c r="FR153" s="166">
        <v>172.29444444444445</v>
      </c>
      <c r="FS153" s="166">
        <v>276.05555555555554</v>
      </c>
      <c r="FT153" s="166">
        <v>430.53333333333336</v>
      </c>
      <c r="FU153" s="166">
        <v>448.34999999999997</v>
      </c>
      <c r="FV153" s="166">
        <v>92.7</v>
      </c>
      <c r="FW153" s="166">
        <v>0</v>
      </c>
      <c r="FX153" s="166">
        <v>92.7</v>
      </c>
      <c r="FY153" s="166">
        <v>448.34999999999997</v>
      </c>
      <c r="FZ153" s="165">
        <v>0</v>
      </c>
      <c r="GA153" s="165">
        <v>19</v>
      </c>
      <c r="GB153" s="165">
        <v>19</v>
      </c>
      <c r="GC153" s="165">
        <v>20</v>
      </c>
      <c r="GD153" s="165">
        <v>17</v>
      </c>
      <c r="GE153" s="165">
        <v>22</v>
      </c>
      <c r="GF153" s="165">
        <v>21</v>
      </c>
      <c r="GG153" s="165">
        <v>32</v>
      </c>
      <c r="GH153" s="165">
        <v>37</v>
      </c>
      <c r="GI153" s="165">
        <v>48</v>
      </c>
      <c r="GJ153" s="165">
        <v>51</v>
      </c>
      <c r="GK153" s="165">
        <v>52</v>
      </c>
      <c r="GL153" s="165">
        <v>32</v>
      </c>
      <c r="GM153" s="165">
        <v>45</v>
      </c>
      <c r="GN153" s="165">
        <v>52</v>
      </c>
      <c r="GO153" s="165">
        <v>149</v>
      </c>
      <c r="GP153" s="165">
        <v>99</v>
      </c>
      <c r="GQ153" s="165">
        <v>181</v>
      </c>
      <c r="GR153" s="165">
        <v>267</v>
      </c>
      <c r="GS153" s="165">
        <v>429</v>
      </c>
      <c r="GT153" s="165">
        <v>448</v>
      </c>
      <c r="GU153" s="165">
        <v>0</v>
      </c>
      <c r="GV153" s="165">
        <v>91</v>
      </c>
      <c r="GW153" s="165">
        <v>91</v>
      </c>
      <c r="GX153" s="165">
        <v>1</v>
      </c>
      <c r="GY153" s="165">
        <v>92</v>
      </c>
      <c r="GZ153" s="165">
        <v>449</v>
      </c>
      <c r="HA153" s="165">
        <v>3</v>
      </c>
      <c r="HB153" s="166">
        <v>36.744999999999976</v>
      </c>
      <c r="HC153" s="166">
        <v>34.744999999999976</v>
      </c>
      <c r="HD153" s="166">
        <v>13.260000000000003</v>
      </c>
      <c r="HE153" s="166">
        <v>17.634999999999998</v>
      </c>
      <c r="HF153" s="166"/>
      <c r="HG153" s="166">
        <v>36.869999999999997</v>
      </c>
      <c r="HH153" s="166">
        <v>0</v>
      </c>
      <c r="HI153" s="166">
        <v>92</v>
      </c>
      <c r="HJ153" s="166">
        <v>92</v>
      </c>
      <c r="HK153" s="166">
        <v>91</v>
      </c>
      <c r="HL153" s="166">
        <v>1</v>
      </c>
      <c r="HM153" s="166">
        <v>3</v>
      </c>
      <c r="HN153" s="166">
        <v>17</v>
      </c>
      <c r="HO153" s="166">
        <v>441</v>
      </c>
      <c r="HP153" s="166">
        <v>156</v>
      </c>
      <c r="HQ153" s="166">
        <v>102</v>
      </c>
      <c r="HR153" s="166">
        <v>183</v>
      </c>
      <c r="HS153" s="166">
        <v>458</v>
      </c>
      <c r="HT153" s="166">
        <f>FY26_FE_Data_April15[[#This Row],[Oct 1, 2026 (CDC) - K]]+FY26_FE_Data_April15[[#This Row],[Oct 1, 2026 (CDC) - Grades 1-6]]+FY26_FE_Data_April15[[#This Row],[Oct 1, 2026 (CDC) - Grades 7-8]]</f>
        <v>275</v>
      </c>
      <c r="HU153" s="166">
        <v>390.10555499999998</v>
      </c>
      <c r="HW153" s="170"/>
      <c r="HY153" s="170"/>
    </row>
    <row r="154" spans="1:233" ht="26">
      <c r="A154" s="158" t="s">
        <v>673</v>
      </c>
      <c r="B154" s="159" t="s">
        <v>674</v>
      </c>
      <c r="C154" s="160" t="s">
        <v>675</v>
      </c>
      <c r="D154" s="160" t="s">
        <v>139</v>
      </c>
      <c r="E154" s="159" t="s">
        <v>784</v>
      </c>
      <c r="F154" s="159" t="s">
        <v>784</v>
      </c>
      <c r="G154" s="159"/>
      <c r="H154" s="161">
        <v>58.87222222222222</v>
      </c>
      <c r="I154" s="161">
        <v>0</v>
      </c>
      <c r="J154" s="161">
        <v>58.87222222222222</v>
      </c>
      <c r="K154" s="162">
        <v>0</v>
      </c>
      <c r="L154" s="162">
        <v>0</v>
      </c>
      <c r="M154" s="162">
        <v>41</v>
      </c>
      <c r="N154" s="162">
        <v>181</v>
      </c>
      <c r="O154" s="162">
        <v>222</v>
      </c>
      <c r="P154" s="162">
        <v>222</v>
      </c>
      <c r="Q154" s="162">
        <v>41</v>
      </c>
      <c r="R154" s="162">
        <v>0</v>
      </c>
      <c r="S154" s="160">
        <v>0</v>
      </c>
      <c r="T154" s="160">
        <v>0</v>
      </c>
      <c r="U154" s="160">
        <v>0</v>
      </c>
      <c r="V154" s="160">
        <v>0</v>
      </c>
      <c r="W154" s="160">
        <v>0</v>
      </c>
      <c r="X154" s="160">
        <v>0</v>
      </c>
      <c r="Y154" s="160">
        <v>0</v>
      </c>
      <c r="Z154" s="160">
        <v>0</v>
      </c>
      <c r="AA154" s="160">
        <v>41.672222222222224</v>
      </c>
      <c r="AB154" s="160">
        <v>51.56111111111111</v>
      </c>
      <c r="AC154" s="160">
        <v>42.333333333333336</v>
      </c>
      <c r="AD154" s="160">
        <v>38.383333333333333</v>
      </c>
      <c r="AE154" s="160">
        <v>42.18888888888889</v>
      </c>
      <c r="AF154" s="160">
        <v>0</v>
      </c>
      <c r="AG154" s="160">
        <v>41.672222222222224</v>
      </c>
      <c r="AH154" s="160">
        <v>174.46666666666667</v>
      </c>
      <c r="AI154" s="160">
        <v>41.672222222222224</v>
      </c>
      <c r="AJ154" s="160">
        <v>216.13888888888889</v>
      </c>
      <c r="AK154" s="160">
        <v>216.13888888888889</v>
      </c>
      <c r="AL154" s="161">
        <v>44.794444444444444</v>
      </c>
      <c r="AM154" s="161">
        <v>0</v>
      </c>
      <c r="AN154" s="161">
        <v>44.794444444444444</v>
      </c>
      <c r="AO154" s="161">
        <v>216.13888888888889</v>
      </c>
      <c r="AP154" s="162">
        <v>0</v>
      </c>
      <c r="AQ154" s="168">
        <v>0</v>
      </c>
      <c r="AR154" s="160">
        <v>0</v>
      </c>
      <c r="AS154" s="160">
        <v>0</v>
      </c>
      <c r="AT154" s="160">
        <v>0</v>
      </c>
      <c r="AU154" s="160">
        <v>0</v>
      </c>
      <c r="AV154" s="160">
        <v>0</v>
      </c>
      <c r="AW154" s="160">
        <v>0</v>
      </c>
      <c r="AX154" s="160">
        <v>36</v>
      </c>
      <c r="AY154" s="160">
        <v>44</v>
      </c>
      <c r="AZ154" s="160">
        <v>46</v>
      </c>
      <c r="BA154" s="160">
        <v>39</v>
      </c>
      <c r="BB154" s="160">
        <v>40</v>
      </c>
      <c r="BC154" s="160">
        <v>0</v>
      </c>
      <c r="BD154" s="160">
        <v>36</v>
      </c>
      <c r="BE154" s="160">
        <v>169</v>
      </c>
      <c r="BF154" s="160">
        <v>36</v>
      </c>
      <c r="BG154" s="160">
        <v>205</v>
      </c>
      <c r="BH154" s="160">
        <v>205</v>
      </c>
      <c r="BI154" s="160">
        <v>0</v>
      </c>
      <c r="BJ154" s="160">
        <v>0</v>
      </c>
      <c r="BK154" s="160">
        <v>3</v>
      </c>
      <c r="BL154" s="160">
        <v>23</v>
      </c>
      <c r="BM154" s="160">
        <v>38</v>
      </c>
      <c r="BN154" s="162">
        <v>2</v>
      </c>
      <c r="BO154" s="162">
        <v>40</v>
      </c>
      <c r="BP154" s="162">
        <v>1</v>
      </c>
      <c r="BQ154" s="163">
        <v>5.8428655365536541E-2</v>
      </c>
      <c r="BR154" s="164">
        <v>17.09</v>
      </c>
      <c r="BS154" s="164">
        <v>16.509999999999998</v>
      </c>
      <c r="BT154" s="164">
        <v>16.509999999999998</v>
      </c>
      <c r="BU154" s="164">
        <v>18.090000000000003</v>
      </c>
      <c r="BV154" s="165">
        <v>0</v>
      </c>
      <c r="BW154" s="165">
        <v>0</v>
      </c>
      <c r="BX154" s="166">
        <v>0</v>
      </c>
      <c r="BY154" s="166">
        <v>0</v>
      </c>
      <c r="BZ154" s="166">
        <v>0</v>
      </c>
      <c r="CA154" s="166">
        <v>0</v>
      </c>
      <c r="CB154" s="166">
        <v>0</v>
      </c>
      <c r="CC154" s="166">
        <v>0</v>
      </c>
      <c r="CD154" s="166">
        <v>0</v>
      </c>
      <c r="CE154" s="166">
        <v>0</v>
      </c>
      <c r="CF154" s="166">
        <v>0</v>
      </c>
      <c r="CG154" s="166">
        <v>0</v>
      </c>
      <c r="CH154" s="166">
        <v>0</v>
      </c>
      <c r="CI154" s="166">
        <v>36.916666666666664</v>
      </c>
      <c r="CJ154" s="166">
        <v>43.405555555555559</v>
      </c>
      <c r="CK154" s="166">
        <v>45.472222222222221</v>
      </c>
      <c r="CL154" s="166">
        <v>37.672222222222224</v>
      </c>
      <c r="CM154" s="166">
        <v>38.633333333333333</v>
      </c>
      <c r="CN154" s="166">
        <v>0</v>
      </c>
      <c r="CO154" s="166">
        <v>36.916666666666664</v>
      </c>
      <c r="CP154" s="166">
        <v>165.18333333333334</v>
      </c>
      <c r="CQ154" s="166">
        <v>36.916666666666664</v>
      </c>
      <c r="CR154" s="166">
        <v>202.1</v>
      </c>
      <c r="CS154" s="166">
        <v>202.1</v>
      </c>
      <c r="CT154" s="166">
        <v>34.216666666666697</v>
      </c>
      <c r="CU154" s="166">
        <v>1.76111111111111</v>
      </c>
      <c r="CV154" s="166">
        <v>35.97777777777781</v>
      </c>
      <c r="CW154" s="166">
        <v>203.86111111111111</v>
      </c>
      <c r="CX154" s="166">
        <v>0</v>
      </c>
      <c r="CY154" s="166">
        <v>0</v>
      </c>
      <c r="CZ154" s="165">
        <v>0</v>
      </c>
      <c r="DA154" s="165">
        <v>0</v>
      </c>
      <c r="DB154" s="165">
        <v>0</v>
      </c>
      <c r="DC154" s="165">
        <v>0</v>
      </c>
      <c r="DD154" s="165">
        <v>0</v>
      </c>
      <c r="DE154" s="165">
        <v>0</v>
      </c>
      <c r="DF154" s="165">
        <v>0</v>
      </c>
      <c r="DG154" s="165">
        <v>0</v>
      </c>
      <c r="DH154" s="165">
        <v>24</v>
      </c>
      <c r="DI154" s="165">
        <v>35</v>
      </c>
      <c r="DJ154" s="165">
        <v>40</v>
      </c>
      <c r="DK154" s="165">
        <v>41</v>
      </c>
      <c r="DL154" s="165">
        <v>42</v>
      </c>
      <c r="DM154" s="165">
        <v>42</v>
      </c>
      <c r="DN154" s="165">
        <v>0</v>
      </c>
      <c r="DO154" s="165">
        <v>59</v>
      </c>
      <c r="DP154" s="165">
        <v>165</v>
      </c>
      <c r="DQ154" s="165">
        <v>59</v>
      </c>
      <c r="DR154" s="165">
        <v>224</v>
      </c>
      <c r="DS154" s="165">
        <v>224</v>
      </c>
      <c r="DT154" s="165">
        <v>6</v>
      </c>
      <c r="DU154" s="165">
        <v>48</v>
      </c>
      <c r="DV154" s="165">
        <v>32</v>
      </c>
      <c r="DW154" s="165">
        <v>1</v>
      </c>
      <c r="DX154" s="165">
        <v>33</v>
      </c>
      <c r="DY154" s="165">
        <v>225</v>
      </c>
      <c r="DZ154" s="165">
        <v>1</v>
      </c>
      <c r="EA154" s="166">
        <v>18.34</v>
      </c>
      <c r="EB154" s="166">
        <v>16.560000000000002</v>
      </c>
      <c r="EC154" s="166">
        <v>0</v>
      </c>
      <c r="ED154" s="166">
        <v>15.093000000000002</v>
      </c>
      <c r="EE154" s="166">
        <v>0</v>
      </c>
      <c r="EF154" s="166">
        <v>20.329999999999998</v>
      </c>
      <c r="EG154" s="167">
        <v>6.3611323867318659E-2</v>
      </c>
      <c r="EH154" s="165"/>
      <c r="EI154" s="165">
        <v>0</v>
      </c>
      <c r="EJ154" s="165">
        <v>223</v>
      </c>
      <c r="EK154" s="165">
        <v>0</v>
      </c>
      <c r="EL154" s="165">
        <v>59</v>
      </c>
      <c r="EM154" s="165">
        <v>164</v>
      </c>
      <c r="EN154" s="165">
        <v>223</v>
      </c>
      <c r="EO154" s="165">
        <v>0</v>
      </c>
      <c r="EP154" s="165">
        <v>34</v>
      </c>
      <c r="EQ154" s="165">
        <v>34</v>
      </c>
      <c r="ER154" s="165">
        <v>33</v>
      </c>
      <c r="ES154" s="165">
        <v>1</v>
      </c>
      <c r="ET154" s="165">
        <v>4</v>
      </c>
      <c r="EU154" s="166">
        <v>4</v>
      </c>
      <c r="EV154" s="166">
        <v>0</v>
      </c>
      <c r="EW154" s="166">
        <v>1</v>
      </c>
      <c r="EX154" s="166">
        <v>1</v>
      </c>
      <c r="EY154" s="166">
        <v>2</v>
      </c>
      <c r="EZ154" s="166">
        <v>8</v>
      </c>
      <c r="FA154" s="166">
        <v>0</v>
      </c>
      <c r="FB154" s="166">
        <v>0</v>
      </c>
      <c r="FC154" s="166">
        <v>0</v>
      </c>
      <c r="FD154" s="166">
        <v>0</v>
      </c>
      <c r="FE154" s="166">
        <v>0</v>
      </c>
      <c r="FF154" s="166">
        <v>0</v>
      </c>
      <c r="FG154" s="166">
        <v>0</v>
      </c>
      <c r="FH154" s="166">
        <v>0</v>
      </c>
      <c r="FI154" s="166">
        <v>0</v>
      </c>
      <c r="FJ154" s="166">
        <v>25.055555555555557</v>
      </c>
      <c r="FK154" s="166">
        <v>35.661111111111111</v>
      </c>
      <c r="FL154" s="166">
        <v>37.216666666666669</v>
      </c>
      <c r="FM154" s="166">
        <v>40.43888888888889</v>
      </c>
      <c r="FN154" s="166">
        <v>40.572222222222223</v>
      </c>
      <c r="FO154" s="166">
        <v>37.944444444444443</v>
      </c>
      <c r="FP154" s="166">
        <v>0</v>
      </c>
      <c r="FQ154" s="166">
        <v>60.716666666666669</v>
      </c>
      <c r="FR154" s="166">
        <v>156.17222222222222</v>
      </c>
      <c r="FS154" s="166">
        <v>60.716666666666669</v>
      </c>
      <c r="FT154" s="166">
        <v>216.88888888888891</v>
      </c>
      <c r="FU154" s="166">
        <v>216.88888888888891</v>
      </c>
      <c r="FV154" s="166">
        <v>32.983333333333334</v>
      </c>
      <c r="FW154" s="166">
        <v>1</v>
      </c>
      <c r="FX154" s="166">
        <v>33.983333333333334</v>
      </c>
      <c r="FY154" s="166">
        <v>217.88888888888891</v>
      </c>
      <c r="FZ154" s="165">
        <v>0</v>
      </c>
      <c r="GA154" s="165">
        <v>0</v>
      </c>
      <c r="GB154" s="165">
        <v>0</v>
      </c>
      <c r="GC154" s="165">
        <v>0</v>
      </c>
      <c r="GD154" s="165">
        <v>0</v>
      </c>
      <c r="GE154" s="165">
        <v>0</v>
      </c>
      <c r="GF154" s="165">
        <v>0</v>
      </c>
      <c r="GG154" s="165">
        <v>0</v>
      </c>
      <c r="GH154" s="165">
        <v>0</v>
      </c>
      <c r="GI154" s="165">
        <v>58</v>
      </c>
      <c r="GJ154" s="165">
        <v>55</v>
      </c>
      <c r="GK154" s="165">
        <v>51</v>
      </c>
      <c r="GL154" s="165">
        <v>44</v>
      </c>
      <c r="GM154" s="165">
        <v>42</v>
      </c>
      <c r="GN154" s="165">
        <v>42</v>
      </c>
      <c r="GO154" s="165">
        <v>0</v>
      </c>
      <c r="GP154" s="165">
        <v>113</v>
      </c>
      <c r="GQ154" s="165">
        <v>179</v>
      </c>
      <c r="GR154" s="165">
        <v>113</v>
      </c>
      <c r="GS154" s="165">
        <v>292</v>
      </c>
      <c r="GT154" s="165">
        <v>292</v>
      </c>
      <c r="GU154" s="165">
        <v>7</v>
      </c>
      <c r="GV154" s="165">
        <v>43</v>
      </c>
      <c r="GW154" s="165">
        <v>42</v>
      </c>
      <c r="GX154" s="165">
        <v>2</v>
      </c>
      <c r="GY154" s="165">
        <v>44</v>
      </c>
      <c r="GZ154" s="165">
        <v>294</v>
      </c>
      <c r="HA154" s="165">
        <v>2</v>
      </c>
      <c r="HB154" s="166">
        <v>19.950000000000003</v>
      </c>
      <c r="HC154" s="166">
        <v>18.170000000000002</v>
      </c>
      <c r="HD154" s="166">
        <v>0.01</v>
      </c>
      <c r="HE154" s="166">
        <v>16.643000000000001</v>
      </c>
      <c r="HF154" s="166"/>
      <c r="HG154" s="166">
        <v>21.5</v>
      </c>
      <c r="HH154" s="166">
        <v>0</v>
      </c>
      <c r="HI154" s="166">
        <v>44</v>
      </c>
      <c r="HJ154" s="166">
        <v>44</v>
      </c>
      <c r="HK154" s="166">
        <v>42</v>
      </c>
      <c r="HL154" s="166">
        <v>2</v>
      </c>
      <c r="HM154" s="166">
        <v>5</v>
      </c>
      <c r="HN154" s="166">
        <v>0</v>
      </c>
      <c r="HO154" s="166">
        <v>292</v>
      </c>
      <c r="HP154" s="166">
        <v>0</v>
      </c>
      <c r="HQ154" s="166">
        <v>111</v>
      </c>
      <c r="HR154" s="166">
        <v>181</v>
      </c>
      <c r="HS154" s="166">
        <v>292</v>
      </c>
      <c r="HT154" s="166">
        <f>FY26_FE_Data_April15[[#This Row],[Oct 1, 2026 (CDC) - K]]+FY26_FE_Data_April15[[#This Row],[Oct 1, 2026 (CDC) - Grades 1-6]]+FY26_FE_Data_April15[[#This Row],[Oct 1, 2026 (CDC) - Grades 7-8]]</f>
        <v>111</v>
      </c>
      <c r="HU154" s="166">
        <v>0</v>
      </c>
      <c r="HW154" s="170"/>
      <c r="HY154" s="170"/>
    </row>
    <row r="155" spans="1:233">
      <c r="A155" s="158" t="s">
        <v>676</v>
      </c>
      <c r="B155" s="158" t="s">
        <v>677</v>
      </c>
      <c r="C155" s="180" t="s">
        <v>678</v>
      </c>
      <c r="D155" s="157" t="s">
        <v>139</v>
      </c>
      <c r="E155" s="159" t="s">
        <v>784</v>
      </c>
      <c r="F155" s="159" t="s">
        <v>785</v>
      </c>
      <c r="G155" s="159" t="s">
        <v>785</v>
      </c>
      <c r="H155" s="161">
        <v>0</v>
      </c>
      <c r="I155" s="161">
        <v>0</v>
      </c>
      <c r="J155" s="161">
        <v>0</v>
      </c>
      <c r="K155" s="161">
        <v>0</v>
      </c>
      <c r="L155" s="161">
        <v>0</v>
      </c>
      <c r="M155" s="161">
        <v>0</v>
      </c>
      <c r="N155" s="161">
        <v>0</v>
      </c>
      <c r="O155" s="161">
        <v>0</v>
      </c>
      <c r="P155" s="161">
        <v>0</v>
      </c>
      <c r="Q155" s="161">
        <v>0</v>
      </c>
      <c r="R155" s="161">
        <v>0</v>
      </c>
      <c r="S155" s="161">
        <v>0</v>
      </c>
      <c r="T155" s="161">
        <v>0</v>
      </c>
      <c r="U155" s="161">
        <v>0</v>
      </c>
      <c r="V155" s="161">
        <v>0</v>
      </c>
      <c r="W155" s="161">
        <v>0</v>
      </c>
      <c r="X155" s="161">
        <v>0</v>
      </c>
      <c r="Y155" s="161">
        <v>0</v>
      </c>
      <c r="Z155" s="161">
        <v>0</v>
      </c>
      <c r="AA155" s="161">
        <v>0</v>
      </c>
      <c r="AB155" s="161">
        <v>0</v>
      </c>
      <c r="AC155" s="161">
        <v>0</v>
      </c>
      <c r="AD155" s="161">
        <v>0</v>
      </c>
      <c r="AE155" s="161">
        <v>0</v>
      </c>
      <c r="AF155" s="161">
        <v>0</v>
      </c>
      <c r="AG155" s="161">
        <v>0</v>
      </c>
      <c r="AH155" s="161">
        <v>0</v>
      </c>
      <c r="AI155" s="161">
        <v>0</v>
      </c>
      <c r="AJ155" s="161">
        <v>0</v>
      </c>
      <c r="AK155" s="161">
        <v>0</v>
      </c>
      <c r="AL155" s="161">
        <v>0</v>
      </c>
      <c r="AM155" s="161">
        <v>0</v>
      </c>
      <c r="AN155" s="161">
        <v>0</v>
      </c>
      <c r="AO155" s="161">
        <v>0</v>
      </c>
      <c r="AP155" s="161">
        <v>0</v>
      </c>
      <c r="AQ155" s="161">
        <v>0</v>
      </c>
      <c r="AR155" s="161">
        <v>0</v>
      </c>
      <c r="AS155" s="161">
        <v>0</v>
      </c>
      <c r="AT155" s="161">
        <v>0</v>
      </c>
      <c r="AU155" s="161">
        <v>0</v>
      </c>
      <c r="AV155" s="161">
        <v>0</v>
      </c>
      <c r="AW155" s="161">
        <v>0</v>
      </c>
      <c r="AX155" s="161">
        <v>0</v>
      </c>
      <c r="AY155" s="161">
        <v>0</v>
      </c>
      <c r="AZ155" s="161">
        <v>0</v>
      </c>
      <c r="BA155" s="161">
        <v>0</v>
      </c>
      <c r="BB155" s="161">
        <v>0</v>
      </c>
      <c r="BC155" s="161">
        <v>0</v>
      </c>
      <c r="BD155" s="161">
        <v>0</v>
      </c>
      <c r="BE155" s="161">
        <v>0</v>
      </c>
      <c r="BF155" s="161">
        <v>0</v>
      </c>
      <c r="BG155" s="161">
        <v>0</v>
      </c>
      <c r="BH155" s="161">
        <v>0</v>
      </c>
      <c r="BI155" s="161">
        <v>0</v>
      </c>
      <c r="BJ155" s="161">
        <v>0</v>
      </c>
      <c r="BK155" s="161">
        <v>0</v>
      </c>
      <c r="BL155" s="161">
        <v>0</v>
      </c>
      <c r="BM155" s="161">
        <v>0</v>
      </c>
      <c r="BN155" s="161">
        <v>0</v>
      </c>
      <c r="BO155" s="161">
        <v>0</v>
      </c>
      <c r="BP155" s="161">
        <v>0</v>
      </c>
      <c r="BQ155" s="161">
        <v>0</v>
      </c>
      <c r="BR155" s="161">
        <v>0</v>
      </c>
      <c r="BS155" s="161">
        <v>0</v>
      </c>
      <c r="BT155" s="161">
        <v>0</v>
      </c>
      <c r="BU155" s="161">
        <v>0</v>
      </c>
      <c r="BV155" s="161">
        <v>0</v>
      </c>
      <c r="BW155" s="161">
        <v>0</v>
      </c>
      <c r="BX155" s="161">
        <v>0</v>
      </c>
      <c r="BY155" s="161">
        <v>0</v>
      </c>
      <c r="BZ155" s="161">
        <v>0</v>
      </c>
      <c r="CA155" s="161">
        <v>0</v>
      </c>
      <c r="CB155" s="161">
        <v>0</v>
      </c>
      <c r="CC155" s="161">
        <v>0</v>
      </c>
      <c r="CD155" s="161">
        <v>0</v>
      </c>
      <c r="CE155" s="161">
        <v>0</v>
      </c>
      <c r="CF155" s="161">
        <v>0</v>
      </c>
      <c r="CG155" s="161">
        <v>0</v>
      </c>
      <c r="CH155" s="161">
        <v>0</v>
      </c>
      <c r="CI155" s="161">
        <v>0</v>
      </c>
      <c r="CJ155" s="161">
        <v>0</v>
      </c>
      <c r="CK155" s="161">
        <v>0</v>
      </c>
      <c r="CL155" s="161">
        <v>0</v>
      </c>
      <c r="CM155" s="161">
        <v>0</v>
      </c>
      <c r="CN155" s="161">
        <v>0</v>
      </c>
      <c r="CO155" s="161">
        <v>0</v>
      </c>
      <c r="CP155" s="161">
        <v>0</v>
      </c>
      <c r="CQ155" s="161">
        <v>0</v>
      </c>
      <c r="CR155" s="161">
        <v>0</v>
      </c>
      <c r="CS155" s="161">
        <v>0</v>
      </c>
      <c r="CT155" s="161">
        <v>0</v>
      </c>
      <c r="CU155" s="161">
        <v>0</v>
      </c>
      <c r="CV155" s="161">
        <v>0</v>
      </c>
      <c r="CW155" s="161">
        <v>0</v>
      </c>
      <c r="CX155" s="161">
        <v>0</v>
      </c>
      <c r="CY155" s="161">
        <v>0</v>
      </c>
      <c r="CZ155" s="161">
        <v>0</v>
      </c>
      <c r="DA155" s="161">
        <v>0</v>
      </c>
      <c r="DB155" s="161">
        <v>0</v>
      </c>
      <c r="DC155" s="161">
        <v>0</v>
      </c>
      <c r="DD155" s="161">
        <v>0</v>
      </c>
      <c r="DE155" s="161">
        <v>0</v>
      </c>
      <c r="DF155" s="161">
        <v>0</v>
      </c>
      <c r="DG155" s="161">
        <v>0</v>
      </c>
      <c r="DH155" s="161">
        <v>0</v>
      </c>
      <c r="DI155" s="161">
        <v>0</v>
      </c>
      <c r="DJ155" s="161">
        <v>0</v>
      </c>
      <c r="DK155" s="161">
        <v>0</v>
      </c>
      <c r="DL155" s="161">
        <v>0</v>
      </c>
      <c r="DM155" s="161">
        <v>0</v>
      </c>
      <c r="DN155" s="161">
        <v>0</v>
      </c>
      <c r="DO155" s="161">
        <v>0</v>
      </c>
      <c r="DP155" s="161">
        <v>0</v>
      </c>
      <c r="DQ155" s="161">
        <v>0</v>
      </c>
      <c r="DR155" s="161">
        <v>0</v>
      </c>
      <c r="DS155" s="161">
        <v>0</v>
      </c>
      <c r="DT155" s="161">
        <v>0</v>
      </c>
      <c r="DU155" s="161">
        <v>0</v>
      </c>
      <c r="DV155" s="161">
        <v>0</v>
      </c>
      <c r="DW155" s="161">
        <v>0</v>
      </c>
      <c r="DX155" s="161">
        <v>0</v>
      </c>
      <c r="DY155" s="161">
        <v>0</v>
      </c>
      <c r="DZ155" s="161">
        <v>0</v>
      </c>
      <c r="EA155" s="161">
        <v>0</v>
      </c>
      <c r="EB155" s="161">
        <v>0</v>
      </c>
      <c r="EC155" s="161">
        <v>0</v>
      </c>
      <c r="ED155" s="161">
        <v>0</v>
      </c>
      <c r="EE155" s="161">
        <v>0</v>
      </c>
      <c r="EF155" s="161">
        <v>0</v>
      </c>
      <c r="EG155" s="161">
        <v>0</v>
      </c>
      <c r="EH155" s="161">
        <v>0</v>
      </c>
      <c r="EI155" s="161">
        <v>0</v>
      </c>
      <c r="EJ155" s="161">
        <v>0</v>
      </c>
      <c r="EK155" s="161">
        <v>0</v>
      </c>
      <c r="EL155" s="161">
        <v>0</v>
      </c>
      <c r="EM155" s="161">
        <v>0</v>
      </c>
      <c r="EN155" s="161">
        <v>0</v>
      </c>
      <c r="EO155" s="161">
        <v>0</v>
      </c>
      <c r="EP155" s="161">
        <v>0</v>
      </c>
      <c r="EQ155" s="161">
        <v>0</v>
      </c>
      <c r="ER155" s="161">
        <v>0</v>
      </c>
      <c r="ES155" s="161">
        <v>0</v>
      </c>
      <c r="ET155" s="161">
        <v>0</v>
      </c>
      <c r="EU155" s="161">
        <v>0</v>
      </c>
      <c r="EV155" s="161">
        <v>0</v>
      </c>
      <c r="EW155" s="161">
        <v>0</v>
      </c>
      <c r="EX155" s="161">
        <v>0</v>
      </c>
      <c r="EY155" s="161">
        <v>0</v>
      </c>
      <c r="EZ155" s="161">
        <v>0</v>
      </c>
      <c r="FA155" s="166">
        <v>0</v>
      </c>
      <c r="FB155" s="166">
        <v>0</v>
      </c>
      <c r="FC155" s="166">
        <v>0</v>
      </c>
      <c r="FD155" s="166">
        <v>0</v>
      </c>
      <c r="FE155" s="166">
        <v>0</v>
      </c>
      <c r="FF155" s="166">
        <v>0</v>
      </c>
      <c r="FG155" s="166">
        <v>0</v>
      </c>
      <c r="FH155" s="166">
        <v>0</v>
      </c>
      <c r="FI155" s="166">
        <v>0</v>
      </c>
      <c r="FJ155" s="166">
        <v>0</v>
      </c>
      <c r="FK155" s="166">
        <v>0</v>
      </c>
      <c r="FL155" s="166">
        <v>0</v>
      </c>
      <c r="FM155" s="166">
        <v>0</v>
      </c>
      <c r="FN155" s="166">
        <v>0</v>
      </c>
      <c r="FO155" s="166">
        <v>0</v>
      </c>
      <c r="FP155" s="166">
        <v>0</v>
      </c>
      <c r="FQ155" s="166">
        <v>0</v>
      </c>
      <c r="FR155" s="166">
        <v>0</v>
      </c>
      <c r="FS155" s="166">
        <v>0</v>
      </c>
      <c r="FT155" s="166">
        <v>0</v>
      </c>
      <c r="FU155" s="166">
        <v>0</v>
      </c>
      <c r="FV155" s="166">
        <v>0</v>
      </c>
      <c r="FW155" s="166">
        <v>0</v>
      </c>
      <c r="FX155" s="166">
        <v>0</v>
      </c>
      <c r="FY155" s="166">
        <v>0</v>
      </c>
      <c r="FZ155" s="165">
        <v>0</v>
      </c>
      <c r="GA155" s="165">
        <v>0</v>
      </c>
      <c r="GB155" s="165">
        <v>0</v>
      </c>
      <c r="GC155" s="165">
        <v>0</v>
      </c>
      <c r="GD155" s="165">
        <v>0</v>
      </c>
      <c r="GE155" s="165">
        <v>0</v>
      </c>
      <c r="GF155" s="165">
        <v>0</v>
      </c>
      <c r="GG155" s="165">
        <v>0</v>
      </c>
      <c r="GH155" s="165">
        <v>0</v>
      </c>
      <c r="GI155" s="165">
        <v>0</v>
      </c>
      <c r="GJ155" s="165">
        <v>0</v>
      </c>
      <c r="GK155" s="165">
        <v>0</v>
      </c>
      <c r="GL155" s="165">
        <v>0</v>
      </c>
      <c r="GM155" s="165">
        <v>0</v>
      </c>
      <c r="GN155" s="165">
        <v>0</v>
      </c>
      <c r="GO155" s="165">
        <v>0</v>
      </c>
      <c r="GP155" s="165">
        <v>0</v>
      </c>
      <c r="GQ155" s="165">
        <v>0</v>
      </c>
      <c r="GR155" s="165">
        <v>0</v>
      </c>
      <c r="GS155" s="165">
        <v>0</v>
      </c>
      <c r="GT155" s="165">
        <v>0</v>
      </c>
      <c r="GU155" s="165">
        <v>0</v>
      </c>
      <c r="GV155" s="165">
        <v>0</v>
      </c>
      <c r="GW155" s="165">
        <v>0</v>
      </c>
      <c r="GX155" s="165">
        <v>0</v>
      </c>
      <c r="GY155" s="165">
        <v>0</v>
      </c>
      <c r="GZ155" s="165">
        <v>0</v>
      </c>
      <c r="HA155" s="165">
        <v>0</v>
      </c>
      <c r="HB155" s="166">
        <v>0</v>
      </c>
      <c r="HC155" s="166">
        <v>0</v>
      </c>
      <c r="HD155" s="166">
        <v>0</v>
      </c>
      <c r="HE155" s="166">
        <v>0</v>
      </c>
      <c r="HF155" s="166"/>
      <c r="HG155" s="166">
        <v>0</v>
      </c>
      <c r="HH155" s="166">
        <v>0</v>
      </c>
      <c r="HI155" s="166">
        <v>0</v>
      </c>
      <c r="HJ155" s="166">
        <v>0</v>
      </c>
      <c r="HK155" s="166">
        <v>0</v>
      </c>
      <c r="HL155" s="166">
        <v>0</v>
      </c>
      <c r="HM155" s="166">
        <v>0</v>
      </c>
      <c r="HN155" s="166">
        <v>0</v>
      </c>
      <c r="HO155" s="166">
        <v>0</v>
      </c>
      <c r="HP155" s="166">
        <v>0</v>
      </c>
      <c r="HQ155" s="166">
        <v>0</v>
      </c>
      <c r="HR155" s="166">
        <v>0</v>
      </c>
      <c r="HS155" s="166">
        <v>0</v>
      </c>
      <c r="HT155" s="166">
        <f>FY26_FE_Data_April15[[#This Row],[Oct 1, 2026 (CDC) - K]]+FY26_FE_Data_April15[[#This Row],[Oct 1, 2026 (CDC) - Grades 1-6]]+FY26_FE_Data_April15[[#This Row],[Oct 1, 2026 (CDC) - Grades 7-8]]</f>
        <v>0</v>
      </c>
      <c r="HU155" s="166">
        <v>0</v>
      </c>
      <c r="HW155" s="170"/>
      <c r="HY155" s="170"/>
    </row>
    <row r="156" spans="1:233" ht="78">
      <c r="A156" s="158" t="s">
        <v>679</v>
      </c>
      <c r="B156" s="159" t="s">
        <v>680</v>
      </c>
      <c r="C156" s="160" t="s">
        <v>681</v>
      </c>
      <c r="D156" s="160" t="s">
        <v>139</v>
      </c>
      <c r="E156" s="159" t="s">
        <v>784</v>
      </c>
      <c r="F156" s="159" t="s">
        <v>784</v>
      </c>
      <c r="G156" s="159"/>
      <c r="H156" s="161">
        <v>43.044444444444444</v>
      </c>
      <c r="I156" s="161">
        <v>0</v>
      </c>
      <c r="J156" s="161">
        <v>43.044444444444444</v>
      </c>
      <c r="K156" s="162">
        <v>0</v>
      </c>
      <c r="L156" s="162">
        <v>0</v>
      </c>
      <c r="M156" s="162">
        <v>0</v>
      </c>
      <c r="N156" s="162">
        <v>1120</v>
      </c>
      <c r="O156" s="162">
        <v>1120</v>
      </c>
      <c r="P156" s="162">
        <v>1120</v>
      </c>
      <c r="Q156" s="162">
        <v>0</v>
      </c>
      <c r="R156" s="162">
        <v>0</v>
      </c>
      <c r="S156" s="160">
        <v>0</v>
      </c>
      <c r="T156" s="160">
        <v>0</v>
      </c>
      <c r="U156" s="160">
        <v>0</v>
      </c>
      <c r="V156" s="160">
        <v>0</v>
      </c>
      <c r="W156" s="160">
        <v>0</v>
      </c>
      <c r="X156" s="160">
        <v>0</v>
      </c>
      <c r="Y156" s="160">
        <v>0</v>
      </c>
      <c r="Z156" s="160">
        <v>0</v>
      </c>
      <c r="AA156" s="160">
        <v>0</v>
      </c>
      <c r="AB156" s="160">
        <v>0</v>
      </c>
      <c r="AC156" s="160">
        <v>392.41666666666669</v>
      </c>
      <c r="AD156" s="160">
        <v>371.75</v>
      </c>
      <c r="AE156" s="160">
        <v>322.33333333333331</v>
      </c>
      <c r="AF156" s="160">
        <v>0</v>
      </c>
      <c r="AG156" s="160">
        <v>0</v>
      </c>
      <c r="AH156" s="160">
        <v>1086.5</v>
      </c>
      <c r="AI156" s="160">
        <v>0</v>
      </c>
      <c r="AJ156" s="160">
        <v>1086.5</v>
      </c>
      <c r="AK156" s="160">
        <v>1086.5</v>
      </c>
      <c r="AL156" s="161">
        <v>43.344444444444441</v>
      </c>
      <c r="AM156" s="161">
        <v>0</v>
      </c>
      <c r="AN156" s="161">
        <v>43.344444444444441</v>
      </c>
      <c r="AO156" s="161">
        <v>1086.5</v>
      </c>
      <c r="AP156" s="162">
        <v>0</v>
      </c>
      <c r="AQ156" s="168">
        <v>0</v>
      </c>
      <c r="AR156" s="160">
        <v>0</v>
      </c>
      <c r="AS156" s="160">
        <v>0</v>
      </c>
      <c r="AT156" s="160">
        <v>0</v>
      </c>
      <c r="AU156" s="160">
        <v>0</v>
      </c>
      <c r="AV156" s="160">
        <v>0</v>
      </c>
      <c r="AW156" s="160">
        <v>0</v>
      </c>
      <c r="AX156" s="160">
        <v>0</v>
      </c>
      <c r="AY156" s="160">
        <v>0</v>
      </c>
      <c r="AZ156" s="160">
        <v>455</v>
      </c>
      <c r="BA156" s="160">
        <v>366</v>
      </c>
      <c r="BB156" s="160">
        <v>345</v>
      </c>
      <c r="BC156" s="160">
        <v>0</v>
      </c>
      <c r="BD156" s="160">
        <v>0</v>
      </c>
      <c r="BE156" s="160">
        <v>1166</v>
      </c>
      <c r="BF156" s="160">
        <v>0</v>
      </c>
      <c r="BG156" s="160">
        <v>1166</v>
      </c>
      <c r="BH156" s="160">
        <v>1166</v>
      </c>
      <c r="BI156" s="160">
        <v>0</v>
      </c>
      <c r="BJ156" s="160">
        <v>0</v>
      </c>
      <c r="BK156" s="160">
        <v>0</v>
      </c>
      <c r="BL156" s="160">
        <v>154</v>
      </c>
      <c r="BM156" s="160">
        <v>55</v>
      </c>
      <c r="BN156" s="162">
        <v>0</v>
      </c>
      <c r="BO156" s="162">
        <v>55</v>
      </c>
      <c r="BP156" s="162">
        <v>15</v>
      </c>
      <c r="BQ156" s="163">
        <v>9.2112364257668111E-2</v>
      </c>
      <c r="BR156" s="164">
        <v>56.338999999999992</v>
      </c>
      <c r="BS156" s="164">
        <v>52.338999999999992</v>
      </c>
      <c r="BT156" s="164">
        <v>51.338999999999992</v>
      </c>
      <c r="BU156" s="164">
        <v>64.326999999999998</v>
      </c>
      <c r="BV156" s="165">
        <v>0</v>
      </c>
      <c r="BW156" s="165">
        <v>0</v>
      </c>
      <c r="BX156" s="166">
        <v>0</v>
      </c>
      <c r="BY156" s="166">
        <v>0</v>
      </c>
      <c r="BZ156" s="166">
        <v>0</v>
      </c>
      <c r="CA156" s="166">
        <v>0</v>
      </c>
      <c r="CB156" s="166">
        <v>0</v>
      </c>
      <c r="CC156" s="166">
        <v>0</v>
      </c>
      <c r="CD156" s="166">
        <v>0</v>
      </c>
      <c r="CE156" s="166">
        <v>0</v>
      </c>
      <c r="CF156" s="166">
        <v>0</v>
      </c>
      <c r="CG156" s="166">
        <v>0</v>
      </c>
      <c r="CH156" s="166">
        <v>0</v>
      </c>
      <c r="CI156" s="166">
        <v>0</v>
      </c>
      <c r="CJ156" s="166">
        <v>0</v>
      </c>
      <c r="CK156" s="166">
        <v>436.04444444444442</v>
      </c>
      <c r="CL156" s="166">
        <v>365.97222222222223</v>
      </c>
      <c r="CM156" s="166">
        <v>342.73333333333335</v>
      </c>
      <c r="CN156" s="166">
        <v>0</v>
      </c>
      <c r="CO156" s="166">
        <v>0</v>
      </c>
      <c r="CP156" s="166">
        <v>1144.75</v>
      </c>
      <c r="CQ156" s="166">
        <v>0</v>
      </c>
      <c r="CR156" s="166">
        <v>1144.75</v>
      </c>
      <c r="CS156" s="166">
        <v>1144.75</v>
      </c>
      <c r="CT156" s="166">
        <v>49.711111111111101</v>
      </c>
      <c r="CU156" s="166">
        <v>0</v>
      </c>
      <c r="CV156" s="166">
        <v>49.711111111111101</v>
      </c>
      <c r="CW156" s="166">
        <v>1144.75</v>
      </c>
      <c r="CX156" s="166">
        <v>0</v>
      </c>
      <c r="CY156" s="166">
        <v>0</v>
      </c>
      <c r="CZ156" s="165">
        <v>0</v>
      </c>
      <c r="DA156" s="165">
        <v>0</v>
      </c>
      <c r="DB156" s="165">
        <v>0</v>
      </c>
      <c r="DC156" s="165">
        <v>0</v>
      </c>
      <c r="DD156" s="165">
        <v>0</v>
      </c>
      <c r="DE156" s="165">
        <v>0</v>
      </c>
      <c r="DF156" s="165">
        <v>0</v>
      </c>
      <c r="DG156" s="165">
        <v>0</v>
      </c>
      <c r="DH156" s="165">
        <v>0</v>
      </c>
      <c r="DI156" s="165">
        <v>0</v>
      </c>
      <c r="DJ156" s="165">
        <v>0</v>
      </c>
      <c r="DK156" s="165">
        <v>389</v>
      </c>
      <c r="DL156" s="165">
        <v>401</v>
      </c>
      <c r="DM156" s="165">
        <v>342</v>
      </c>
      <c r="DN156" s="165">
        <v>0</v>
      </c>
      <c r="DO156" s="165">
        <v>0</v>
      </c>
      <c r="DP156" s="165">
        <v>1132</v>
      </c>
      <c r="DQ156" s="165">
        <v>0</v>
      </c>
      <c r="DR156" s="165">
        <v>1132</v>
      </c>
      <c r="DS156" s="165">
        <v>1132</v>
      </c>
      <c r="DT156" s="165">
        <v>0</v>
      </c>
      <c r="DU156" s="165">
        <v>61</v>
      </c>
      <c r="DV156" s="165">
        <v>39</v>
      </c>
      <c r="DW156" s="165">
        <v>0</v>
      </c>
      <c r="DX156" s="165">
        <v>39</v>
      </c>
      <c r="DY156" s="165">
        <v>1132</v>
      </c>
      <c r="DZ156" s="165">
        <v>15</v>
      </c>
      <c r="EA156" s="166">
        <v>64.047000000000011</v>
      </c>
      <c r="EB156" s="166">
        <v>60.047000000000004</v>
      </c>
      <c r="EC156" s="166">
        <v>0</v>
      </c>
      <c r="ED156" s="166">
        <v>52.152000000000008</v>
      </c>
      <c r="EE156" s="166">
        <v>0</v>
      </c>
      <c r="EF156" s="166">
        <v>67.837000000000003</v>
      </c>
      <c r="EG156" s="167">
        <v>9.9146654952492475E-2</v>
      </c>
      <c r="EH156" s="165"/>
      <c r="EI156" s="165">
        <v>0</v>
      </c>
      <c r="EJ156" s="165">
        <v>1145</v>
      </c>
      <c r="EK156" s="165">
        <v>0</v>
      </c>
      <c r="EL156" s="165">
        <v>0</v>
      </c>
      <c r="EM156" s="165">
        <v>1145</v>
      </c>
      <c r="EN156" s="165">
        <v>1145</v>
      </c>
      <c r="EO156" s="165">
        <v>0</v>
      </c>
      <c r="EP156" s="165">
        <v>37</v>
      </c>
      <c r="EQ156" s="165">
        <v>37</v>
      </c>
      <c r="ER156" s="165">
        <v>37</v>
      </c>
      <c r="ES156" s="165">
        <v>0</v>
      </c>
      <c r="ET156" s="165">
        <v>0</v>
      </c>
      <c r="EU156" s="166">
        <v>2</v>
      </c>
      <c r="EV156" s="166">
        <v>0</v>
      </c>
      <c r="EW156" s="166">
        <v>0</v>
      </c>
      <c r="EX156" s="166">
        <v>0</v>
      </c>
      <c r="EY156" s="166">
        <v>0</v>
      </c>
      <c r="EZ156" s="166">
        <v>2</v>
      </c>
      <c r="FA156" s="166">
        <v>0</v>
      </c>
      <c r="FB156" s="166">
        <v>0</v>
      </c>
      <c r="FC156" s="166">
        <v>0</v>
      </c>
      <c r="FD156" s="166">
        <v>0</v>
      </c>
      <c r="FE156" s="166">
        <v>0</v>
      </c>
      <c r="FF156" s="166">
        <v>0</v>
      </c>
      <c r="FG156" s="166">
        <v>0</v>
      </c>
      <c r="FH156" s="166">
        <v>0</v>
      </c>
      <c r="FI156" s="166">
        <v>0</v>
      </c>
      <c r="FJ156" s="166">
        <v>0</v>
      </c>
      <c r="FK156" s="166">
        <v>0</v>
      </c>
      <c r="FL156" s="166">
        <v>0</v>
      </c>
      <c r="FM156" s="166">
        <v>381.42777777777781</v>
      </c>
      <c r="FN156" s="166">
        <v>395.88333333333333</v>
      </c>
      <c r="FO156" s="166">
        <v>339.93888888888887</v>
      </c>
      <c r="FP156" s="166">
        <v>0</v>
      </c>
      <c r="FQ156" s="166">
        <v>0</v>
      </c>
      <c r="FR156" s="166">
        <v>1117.25</v>
      </c>
      <c r="FS156" s="166">
        <v>0</v>
      </c>
      <c r="FT156" s="166">
        <v>1117.25</v>
      </c>
      <c r="FU156" s="166">
        <v>1117.25</v>
      </c>
      <c r="FV156" s="166">
        <v>38.12777777777778</v>
      </c>
      <c r="FW156" s="166">
        <v>0</v>
      </c>
      <c r="FX156" s="166">
        <v>38.12777777777778</v>
      </c>
      <c r="FY156" s="166">
        <v>1117.25</v>
      </c>
      <c r="FZ156" s="165">
        <v>0</v>
      </c>
      <c r="GA156" s="165">
        <v>0</v>
      </c>
      <c r="GB156" s="165">
        <v>0</v>
      </c>
      <c r="GC156" s="165">
        <v>0</v>
      </c>
      <c r="GD156" s="165">
        <v>0</v>
      </c>
      <c r="GE156" s="165">
        <v>0</v>
      </c>
      <c r="GF156" s="165">
        <v>0</v>
      </c>
      <c r="GG156" s="165">
        <v>0</v>
      </c>
      <c r="GH156" s="165">
        <v>0</v>
      </c>
      <c r="GI156" s="165">
        <v>0</v>
      </c>
      <c r="GJ156" s="165">
        <v>0</v>
      </c>
      <c r="GK156" s="165">
        <v>1</v>
      </c>
      <c r="GL156" s="165">
        <v>401</v>
      </c>
      <c r="GM156" s="165">
        <v>378</v>
      </c>
      <c r="GN156" s="165">
        <v>365</v>
      </c>
      <c r="GO156" s="165">
        <v>0</v>
      </c>
      <c r="GP156" s="165">
        <v>0</v>
      </c>
      <c r="GQ156" s="165">
        <v>1145</v>
      </c>
      <c r="GR156" s="165">
        <v>0</v>
      </c>
      <c r="GS156" s="165">
        <v>1145</v>
      </c>
      <c r="GT156" s="165">
        <v>1145</v>
      </c>
      <c r="GU156" s="165">
        <v>0</v>
      </c>
      <c r="GV156" s="165">
        <v>58</v>
      </c>
      <c r="GW156" s="165">
        <v>49</v>
      </c>
      <c r="GX156" s="165">
        <v>0</v>
      </c>
      <c r="GY156" s="165">
        <v>49</v>
      </c>
      <c r="GZ156" s="165">
        <v>1145</v>
      </c>
      <c r="HA156" s="165">
        <v>12</v>
      </c>
      <c r="HB156" s="166">
        <v>65.484000000000009</v>
      </c>
      <c r="HC156" s="166">
        <v>61.624000000000009</v>
      </c>
      <c r="HD156" s="166">
        <v>0</v>
      </c>
      <c r="HE156" s="166">
        <v>51.759000000000007</v>
      </c>
      <c r="HF156" s="166"/>
      <c r="HG156" s="166">
        <v>68.804000000000002</v>
      </c>
      <c r="HH156" s="166">
        <v>0</v>
      </c>
      <c r="HI156" s="166">
        <v>47</v>
      </c>
      <c r="HJ156" s="166">
        <v>47</v>
      </c>
      <c r="HK156" s="166">
        <v>47</v>
      </c>
      <c r="HL156" s="166">
        <v>0</v>
      </c>
      <c r="HM156" s="166">
        <v>0</v>
      </c>
      <c r="HN156" s="166">
        <v>0</v>
      </c>
      <c r="HO156" s="166">
        <v>1155</v>
      </c>
      <c r="HP156" s="166">
        <v>0</v>
      </c>
      <c r="HQ156" s="166">
        <v>0</v>
      </c>
      <c r="HR156" s="166">
        <v>1155</v>
      </c>
      <c r="HS156" s="166">
        <v>1155</v>
      </c>
      <c r="HT156" s="166">
        <f>FY26_FE_Data_April15[[#This Row],[Oct 1, 2026 (CDC) - K]]+FY26_FE_Data_April15[[#This Row],[Oct 1, 2026 (CDC) - Grades 1-6]]+FY26_FE_Data_April15[[#This Row],[Oct 1, 2026 (CDC) - Grades 7-8]]</f>
        <v>0</v>
      </c>
      <c r="HU156" s="166">
        <v>0</v>
      </c>
      <c r="HW156" s="170"/>
      <c r="HY156" s="170"/>
    </row>
    <row r="157" spans="1:233" ht="26">
      <c r="A157" s="158" t="s">
        <v>682</v>
      </c>
      <c r="B157" s="159" t="s">
        <v>683</v>
      </c>
      <c r="C157" s="160" t="s">
        <v>684</v>
      </c>
      <c r="D157" s="160" t="s">
        <v>139</v>
      </c>
      <c r="E157" s="159" t="s">
        <v>784</v>
      </c>
      <c r="F157" s="159" t="s">
        <v>784</v>
      </c>
      <c r="G157" s="159"/>
      <c r="H157" s="161">
        <v>53.5</v>
      </c>
      <c r="I157" s="161">
        <v>4</v>
      </c>
      <c r="J157" s="161">
        <v>57.5</v>
      </c>
      <c r="K157" s="162">
        <v>52</v>
      </c>
      <c r="L157" s="162">
        <v>316</v>
      </c>
      <c r="M157" s="162">
        <v>0</v>
      </c>
      <c r="N157" s="162">
        <v>0</v>
      </c>
      <c r="O157" s="162">
        <v>368</v>
      </c>
      <c r="P157" s="162">
        <v>316</v>
      </c>
      <c r="Q157" s="162">
        <v>368</v>
      </c>
      <c r="R157" s="162">
        <v>3</v>
      </c>
      <c r="S157" s="160">
        <v>51.93333333333333</v>
      </c>
      <c r="T157" s="160">
        <v>52.722222222222221</v>
      </c>
      <c r="U157" s="160">
        <v>51</v>
      </c>
      <c r="V157" s="160">
        <v>51.81666666666667</v>
      </c>
      <c r="W157" s="160">
        <v>51.75</v>
      </c>
      <c r="X157" s="160">
        <v>51.177777777777777</v>
      </c>
      <c r="Y157" s="160">
        <v>51.494444444444447</v>
      </c>
      <c r="Z157" s="160">
        <v>0</v>
      </c>
      <c r="AA157" s="160">
        <v>0</v>
      </c>
      <c r="AB157" s="160">
        <v>0</v>
      </c>
      <c r="AC157" s="160">
        <v>0</v>
      </c>
      <c r="AD157" s="160">
        <v>0</v>
      </c>
      <c r="AE157" s="160">
        <v>0</v>
      </c>
      <c r="AF157" s="160">
        <v>309.96111111111117</v>
      </c>
      <c r="AG157" s="160">
        <v>0</v>
      </c>
      <c r="AH157" s="160">
        <v>0</v>
      </c>
      <c r="AI157" s="160">
        <v>361.89444444444445</v>
      </c>
      <c r="AJ157" s="160">
        <v>309.96111111111117</v>
      </c>
      <c r="AK157" s="160">
        <v>361.89444444444445</v>
      </c>
      <c r="AL157" s="161">
        <v>58.044444444444444</v>
      </c>
      <c r="AM157" s="161">
        <v>3.0722222222222224</v>
      </c>
      <c r="AN157" s="161">
        <v>61.116666666666667</v>
      </c>
      <c r="AO157" s="161">
        <v>364.96666666666664</v>
      </c>
      <c r="AP157" s="162">
        <v>52</v>
      </c>
      <c r="AQ157" s="168">
        <v>53</v>
      </c>
      <c r="AR157" s="160">
        <v>52</v>
      </c>
      <c r="AS157" s="160">
        <v>52</v>
      </c>
      <c r="AT157" s="160">
        <v>53</v>
      </c>
      <c r="AU157" s="160">
        <v>52</v>
      </c>
      <c r="AV157" s="160">
        <v>53</v>
      </c>
      <c r="AW157" s="160">
        <v>0</v>
      </c>
      <c r="AX157" s="160">
        <v>0</v>
      </c>
      <c r="AY157" s="160">
        <v>0</v>
      </c>
      <c r="AZ157" s="160">
        <v>0</v>
      </c>
      <c r="BA157" s="160">
        <v>0</v>
      </c>
      <c r="BB157" s="160">
        <v>0</v>
      </c>
      <c r="BC157" s="160">
        <v>315</v>
      </c>
      <c r="BD157" s="160">
        <v>0</v>
      </c>
      <c r="BE157" s="160">
        <v>0</v>
      </c>
      <c r="BF157" s="160">
        <v>367</v>
      </c>
      <c r="BG157" s="160">
        <v>315</v>
      </c>
      <c r="BH157" s="160">
        <v>367</v>
      </c>
      <c r="BI157" s="160">
        <v>0</v>
      </c>
      <c r="BJ157" s="160">
        <v>52</v>
      </c>
      <c r="BK157" s="160">
        <v>0</v>
      </c>
      <c r="BL157" s="160">
        <v>62</v>
      </c>
      <c r="BM157" s="160">
        <v>58</v>
      </c>
      <c r="BN157" s="162">
        <v>2</v>
      </c>
      <c r="BO157" s="162">
        <v>60</v>
      </c>
      <c r="BP157" s="162">
        <v>0</v>
      </c>
      <c r="BQ157" s="163">
        <v>9.4736842105263119E-2</v>
      </c>
      <c r="BR157" s="164">
        <v>18</v>
      </c>
      <c r="BS157" s="164">
        <v>18</v>
      </c>
      <c r="BT157" s="164">
        <v>18</v>
      </c>
      <c r="BU157" s="164">
        <v>18</v>
      </c>
      <c r="BV157" s="165">
        <v>0</v>
      </c>
      <c r="BW157" s="165">
        <v>0</v>
      </c>
      <c r="BX157" s="166">
        <v>0</v>
      </c>
      <c r="BY157" s="166">
        <v>50.772221999999999</v>
      </c>
      <c r="BZ157" s="166">
        <v>0</v>
      </c>
      <c r="CA157" s="166">
        <v>50.772222222222226</v>
      </c>
      <c r="CB157" s="166">
        <v>50.738888888888887</v>
      </c>
      <c r="CC157" s="166">
        <v>50</v>
      </c>
      <c r="CD157" s="166">
        <v>52.111111111111114</v>
      </c>
      <c r="CE157" s="166">
        <v>51.56666666666667</v>
      </c>
      <c r="CF157" s="166">
        <v>51.944444444444443</v>
      </c>
      <c r="CG157" s="166">
        <v>46.011111111111113</v>
      </c>
      <c r="CH157" s="166">
        <v>0</v>
      </c>
      <c r="CI157" s="166">
        <v>0</v>
      </c>
      <c r="CJ157" s="166">
        <v>0</v>
      </c>
      <c r="CK157" s="166">
        <v>0</v>
      </c>
      <c r="CL157" s="166">
        <v>0</v>
      </c>
      <c r="CM157" s="166">
        <v>0</v>
      </c>
      <c r="CN157" s="166">
        <v>302.37222222222221</v>
      </c>
      <c r="CO157" s="166">
        <v>0</v>
      </c>
      <c r="CP157" s="166">
        <v>0</v>
      </c>
      <c r="CQ157" s="166">
        <v>353.14444444444445</v>
      </c>
      <c r="CR157" s="166">
        <v>302.37222222222221</v>
      </c>
      <c r="CS157" s="166">
        <v>353.14444444444445</v>
      </c>
      <c r="CT157" s="166">
        <v>56.677777777777798</v>
      </c>
      <c r="CU157" s="166">
        <v>1.9111111111111101</v>
      </c>
      <c r="CV157" s="166">
        <v>58.58888888888891</v>
      </c>
      <c r="CW157" s="166">
        <v>355.05555555555554</v>
      </c>
      <c r="CX157" s="166">
        <v>0</v>
      </c>
      <c r="CY157" s="166">
        <v>0</v>
      </c>
      <c r="CZ157" s="165">
        <v>52</v>
      </c>
      <c r="DA157" s="165">
        <v>52</v>
      </c>
      <c r="DB157" s="165">
        <v>52</v>
      </c>
      <c r="DC157" s="165">
        <v>51</v>
      </c>
      <c r="DD157" s="165">
        <v>52</v>
      </c>
      <c r="DE157" s="165">
        <v>53</v>
      </c>
      <c r="DF157" s="165">
        <v>50</v>
      </c>
      <c r="DG157" s="165">
        <v>51</v>
      </c>
      <c r="DH157" s="165">
        <v>0</v>
      </c>
      <c r="DI157" s="165">
        <v>0</v>
      </c>
      <c r="DJ157" s="165">
        <v>0</v>
      </c>
      <c r="DK157" s="165">
        <v>0</v>
      </c>
      <c r="DL157" s="165">
        <v>0</v>
      </c>
      <c r="DM157" s="165">
        <v>0</v>
      </c>
      <c r="DN157" s="165">
        <v>309</v>
      </c>
      <c r="DO157" s="165">
        <v>0</v>
      </c>
      <c r="DP157" s="165">
        <v>0</v>
      </c>
      <c r="DQ157" s="165">
        <v>361</v>
      </c>
      <c r="DR157" s="165">
        <v>309</v>
      </c>
      <c r="DS157" s="165">
        <v>361</v>
      </c>
      <c r="DT157" s="165">
        <v>0</v>
      </c>
      <c r="DU157" s="165">
        <v>53</v>
      </c>
      <c r="DV157" s="165">
        <v>46</v>
      </c>
      <c r="DW157" s="165">
        <v>2</v>
      </c>
      <c r="DX157" s="165">
        <v>48</v>
      </c>
      <c r="DY157" s="165">
        <v>363</v>
      </c>
      <c r="DZ157" s="165">
        <v>9</v>
      </c>
      <c r="EA157" s="166">
        <v>18</v>
      </c>
      <c r="EB157" s="166">
        <v>18</v>
      </c>
      <c r="EC157" s="166">
        <v>18</v>
      </c>
      <c r="ED157" s="166">
        <v>0</v>
      </c>
      <c r="EE157" s="166">
        <v>0</v>
      </c>
      <c r="EF157" s="166">
        <v>18.914000000000001</v>
      </c>
      <c r="EG157" s="167">
        <v>7.2368421052631582E-2</v>
      </c>
      <c r="EH157" s="165"/>
      <c r="EI157" s="165">
        <v>51</v>
      </c>
      <c r="EJ157" s="165">
        <v>309</v>
      </c>
      <c r="EK157" s="165">
        <v>309</v>
      </c>
      <c r="EL157" s="165">
        <v>0</v>
      </c>
      <c r="EM157" s="165">
        <v>0</v>
      </c>
      <c r="EN157" s="165">
        <v>360</v>
      </c>
      <c r="EO157" s="165">
        <v>0</v>
      </c>
      <c r="EP157" s="165">
        <v>55</v>
      </c>
      <c r="EQ157" s="165">
        <v>55</v>
      </c>
      <c r="ER157" s="165">
        <v>53</v>
      </c>
      <c r="ES157" s="165">
        <v>2</v>
      </c>
      <c r="ET157" s="165">
        <v>6</v>
      </c>
      <c r="EU157" s="166">
        <v>14.39</v>
      </c>
      <c r="EV157" s="166">
        <v>0</v>
      </c>
      <c r="EW157" s="166">
        <v>0</v>
      </c>
      <c r="EX157" s="166">
        <v>7.8E-2</v>
      </c>
      <c r="EY157" s="166">
        <v>0.56999999999999995</v>
      </c>
      <c r="EZ157" s="166">
        <v>15.038</v>
      </c>
      <c r="FA157" s="166">
        <v>51.62777777777778</v>
      </c>
      <c r="FB157" s="166">
        <v>0</v>
      </c>
      <c r="FC157" s="166">
        <v>51.62777777777778</v>
      </c>
      <c r="FD157" s="166">
        <v>50.922222222222224</v>
      </c>
      <c r="FE157" s="166">
        <v>51.455555555555556</v>
      </c>
      <c r="FF157" s="166">
        <v>51.594444444444441</v>
      </c>
      <c r="FG157" s="166">
        <v>52.4</v>
      </c>
      <c r="FH157" s="166">
        <v>50.305555555555557</v>
      </c>
      <c r="FI157" s="166">
        <v>50.994444444444447</v>
      </c>
      <c r="FJ157" s="166">
        <v>0</v>
      </c>
      <c r="FK157" s="166">
        <v>0</v>
      </c>
      <c r="FL157" s="166">
        <v>0</v>
      </c>
      <c r="FM157" s="166">
        <v>0</v>
      </c>
      <c r="FN157" s="166">
        <v>0</v>
      </c>
      <c r="FO157" s="166">
        <v>0</v>
      </c>
      <c r="FP157" s="166">
        <v>307.67222222222227</v>
      </c>
      <c r="FQ157" s="166">
        <v>0</v>
      </c>
      <c r="FR157" s="166">
        <v>0</v>
      </c>
      <c r="FS157" s="166">
        <v>359.3</v>
      </c>
      <c r="FT157" s="166">
        <v>307.67222222222227</v>
      </c>
      <c r="FU157" s="166">
        <v>359.3</v>
      </c>
      <c r="FV157" s="166">
        <v>53.733333333333334</v>
      </c>
      <c r="FW157" s="166">
        <v>1.7444444444444445</v>
      </c>
      <c r="FX157" s="166">
        <v>55.477777777777781</v>
      </c>
      <c r="FY157" s="166">
        <v>361.04444444444448</v>
      </c>
      <c r="FZ157" s="165">
        <v>51</v>
      </c>
      <c r="GA157" s="165">
        <v>0</v>
      </c>
      <c r="GB157" s="165">
        <v>51</v>
      </c>
      <c r="GC157" s="165">
        <v>52</v>
      </c>
      <c r="GD157" s="165">
        <v>52</v>
      </c>
      <c r="GE157" s="165">
        <v>53</v>
      </c>
      <c r="GF157" s="165">
        <v>52</v>
      </c>
      <c r="GG157" s="165">
        <v>52</v>
      </c>
      <c r="GH157" s="165">
        <v>49</v>
      </c>
      <c r="GI157" s="165">
        <v>0</v>
      </c>
      <c r="GJ157" s="165">
        <v>0</v>
      </c>
      <c r="GK157" s="165">
        <v>0</v>
      </c>
      <c r="GL157" s="165">
        <v>0</v>
      </c>
      <c r="GM157" s="165">
        <v>0</v>
      </c>
      <c r="GN157" s="165">
        <v>0</v>
      </c>
      <c r="GO157" s="165">
        <v>310</v>
      </c>
      <c r="GP157" s="165">
        <v>0</v>
      </c>
      <c r="GQ157" s="165">
        <v>0</v>
      </c>
      <c r="GR157" s="165">
        <v>361</v>
      </c>
      <c r="GS157" s="165">
        <v>310</v>
      </c>
      <c r="GT157" s="165">
        <v>361</v>
      </c>
      <c r="GU157" s="165">
        <v>0</v>
      </c>
      <c r="GV157" s="165">
        <v>45</v>
      </c>
      <c r="GW157" s="165">
        <v>46</v>
      </c>
      <c r="GX157" s="165">
        <v>0</v>
      </c>
      <c r="GY157" s="165">
        <v>46</v>
      </c>
      <c r="GZ157" s="165">
        <v>361</v>
      </c>
      <c r="HA157" s="165">
        <v>8</v>
      </c>
      <c r="HB157" s="166">
        <v>18</v>
      </c>
      <c r="HC157" s="166">
        <v>18</v>
      </c>
      <c r="HD157" s="166">
        <v>18</v>
      </c>
      <c r="HE157" s="166">
        <v>0</v>
      </c>
      <c r="HF157" s="166"/>
      <c r="HG157" s="166">
        <v>19</v>
      </c>
      <c r="HH157" s="166">
        <v>0</v>
      </c>
      <c r="HI157" s="166">
        <v>53</v>
      </c>
      <c r="HJ157" s="166">
        <v>53</v>
      </c>
      <c r="HK157" s="166">
        <v>53</v>
      </c>
      <c r="HL157" s="166">
        <v>0</v>
      </c>
      <c r="HM157" s="166">
        <v>8</v>
      </c>
      <c r="HN157" s="166">
        <v>53</v>
      </c>
      <c r="HO157" s="166">
        <v>308</v>
      </c>
      <c r="HP157" s="166">
        <v>308</v>
      </c>
      <c r="HQ157" s="166">
        <v>0</v>
      </c>
      <c r="HR157" s="166">
        <v>0</v>
      </c>
      <c r="HS157" s="166">
        <v>361</v>
      </c>
      <c r="HT157" s="166">
        <f>FY26_FE_Data_April15[[#This Row],[Oct 1, 2026 (CDC) - K]]+FY26_FE_Data_April15[[#This Row],[Oct 1, 2026 (CDC) - Grades 1-6]]+FY26_FE_Data_April15[[#This Row],[Oct 1, 2026 (CDC) - Grades 7-8]]</f>
        <v>361</v>
      </c>
      <c r="HU157" s="166">
        <v>0</v>
      </c>
      <c r="HW157" s="170"/>
      <c r="HY157" s="170"/>
    </row>
    <row r="158" spans="1:233" ht="52">
      <c r="A158" s="158" t="s">
        <v>685</v>
      </c>
      <c r="B158" s="159" t="s">
        <v>686</v>
      </c>
      <c r="C158" s="160" t="s">
        <v>687</v>
      </c>
      <c r="D158" s="160" t="s">
        <v>139</v>
      </c>
      <c r="E158" s="159" t="s">
        <v>784</v>
      </c>
      <c r="F158" s="159" t="s">
        <v>784</v>
      </c>
      <c r="G158" s="159"/>
      <c r="H158" s="161">
        <v>193.35</v>
      </c>
      <c r="I158" s="161">
        <v>6.4888888888888889</v>
      </c>
      <c r="J158" s="161">
        <v>199.83888888888887</v>
      </c>
      <c r="K158" s="162">
        <v>88</v>
      </c>
      <c r="L158" s="162">
        <v>585</v>
      </c>
      <c r="M158" s="162">
        <v>188</v>
      </c>
      <c r="N158" s="162">
        <v>338</v>
      </c>
      <c r="O158" s="162">
        <v>1199</v>
      </c>
      <c r="P158" s="162">
        <v>1111</v>
      </c>
      <c r="Q158" s="162">
        <v>861</v>
      </c>
      <c r="R158" s="162">
        <v>1</v>
      </c>
      <c r="S158" s="160">
        <v>90.466666666666669</v>
      </c>
      <c r="T158" s="160">
        <v>90.277777777777771</v>
      </c>
      <c r="U158" s="160">
        <v>107.67222222222222</v>
      </c>
      <c r="V158" s="160">
        <v>102.15</v>
      </c>
      <c r="W158" s="160">
        <v>102.05</v>
      </c>
      <c r="X158" s="160">
        <v>90.855555555555554</v>
      </c>
      <c r="Y158" s="160">
        <v>98.438888888888883</v>
      </c>
      <c r="Z158" s="160">
        <v>94.35</v>
      </c>
      <c r="AA158" s="160">
        <v>90.25555555555556</v>
      </c>
      <c r="AB158" s="160">
        <v>101.55</v>
      </c>
      <c r="AC158" s="160">
        <v>82.3</v>
      </c>
      <c r="AD158" s="160">
        <v>77.11666666666666</v>
      </c>
      <c r="AE158" s="160">
        <v>73.55</v>
      </c>
      <c r="AF158" s="160">
        <v>591.44444444444446</v>
      </c>
      <c r="AG158" s="160">
        <v>184.60555555555555</v>
      </c>
      <c r="AH158" s="160">
        <v>334.51666666666665</v>
      </c>
      <c r="AI158" s="160">
        <v>866.51666666666665</v>
      </c>
      <c r="AJ158" s="160">
        <v>1110.5666666666666</v>
      </c>
      <c r="AK158" s="160">
        <v>1201.0333333333331</v>
      </c>
      <c r="AL158" s="161">
        <v>169.47222222222223</v>
      </c>
      <c r="AM158" s="161">
        <v>1</v>
      </c>
      <c r="AN158" s="161">
        <v>170.47222222222223</v>
      </c>
      <c r="AO158" s="161">
        <v>1202.0333333333331</v>
      </c>
      <c r="AP158" s="162">
        <v>104</v>
      </c>
      <c r="AQ158" s="168">
        <v>102</v>
      </c>
      <c r="AR158" s="160">
        <v>98</v>
      </c>
      <c r="AS158" s="160">
        <v>108</v>
      </c>
      <c r="AT158" s="160">
        <v>101</v>
      </c>
      <c r="AU158" s="160">
        <v>112</v>
      </c>
      <c r="AV158" s="160">
        <v>96</v>
      </c>
      <c r="AW158" s="160">
        <v>125</v>
      </c>
      <c r="AX158" s="160">
        <v>95</v>
      </c>
      <c r="AY158" s="160">
        <v>98</v>
      </c>
      <c r="AZ158" s="160">
        <v>91</v>
      </c>
      <c r="BA158" s="160">
        <v>68</v>
      </c>
      <c r="BB158" s="160">
        <v>73</v>
      </c>
      <c r="BC158" s="160">
        <v>617</v>
      </c>
      <c r="BD158" s="160">
        <v>220</v>
      </c>
      <c r="BE158" s="160">
        <v>330</v>
      </c>
      <c r="BF158" s="160">
        <v>941</v>
      </c>
      <c r="BG158" s="160">
        <v>1167</v>
      </c>
      <c r="BH158" s="160">
        <v>1271</v>
      </c>
      <c r="BI158" s="160">
        <v>104</v>
      </c>
      <c r="BJ158" s="160">
        <v>0</v>
      </c>
      <c r="BK158" s="160">
        <v>0</v>
      </c>
      <c r="BL158" s="160">
        <v>397</v>
      </c>
      <c r="BM158" s="160">
        <v>193</v>
      </c>
      <c r="BN158" s="162">
        <v>1</v>
      </c>
      <c r="BO158" s="162">
        <v>194</v>
      </c>
      <c r="BP158" s="162">
        <v>39</v>
      </c>
      <c r="BQ158" s="163">
        <v>6.6807638646668999E-2</v>
      </c>
      <c r="BR158" s="164">
        <v>79.504999999999995</v>
      </c>
      <c r="BS158" s="164">
        <v>76.504999999999995</v>
      </c>
      <c r="BT158" s="164">
        <v>76.004999999999995</v>
      </c>
      <c r="BU158" s="164">
        <v>82.454999999999984</v>
      </c>
      <c r="BV158" s="165">
        <v>0</v>
      </c>
      <c r="BW158" s="165">
        <v>0</v>
      </c>
      <c r="BX158" s="166">
        <v>0</v>
      </c>
      <c r="BY158" s="166">
        <v>0</v>
      </c>
      <c r="BZ158" s="166">
        <v>101.544444</v>
      </c>
      <c r="CA158" s="166">
        <v>101.54444444444445</v>
      </c>
      <c r="CB158" s="166">
        <v>100.16666666666667</v>
      </c>
      <c r="CC158" s="166">
        <v>97.00555555555556</v>
      </c>
      <c r="CD158" s="166">
        <v>105.85</v>
      </c>
      <c r="CE158" s="166">
        <v>100.42222222222222</v>
      </c>
      <c r="CF158" s="166">
        <v>109.68333333333334</v>
      </c>
      <c r="CG158" s="166">
        <v>94.716666666666669</v>
      </c>
      <c r="CH158" s="166">
        <v>125.64444444444445</v>
      </c>
      <c r="CI158" s="166">
        <v>95.327777777777783</v>
      </c>
      <c r="CJ158" s="166">
        <v>96.566666666666663</v>
      </c>
      <c r="CK158" s="166">
        <v>89.983333333333334</v>
      </c>
      <c r="CL158" s="166">
        <v>66.611111111111114</v>
      </c>
      <c r="CM158" s="166">
        <v>71.772222222222226</v>
      </c>
      <c r="CN158" s="166">
        <v>607.84444444444443</v>
      </c>
      <c r="CO158" s="166">
        <v>220.97222222222223</v>
      </c>
      <c r="CP158" s="166">
        <v>324.93333333333334</v>
      </c>
      <c r="CQ158" s="166">
        <v>930.36111111111109</v>
      </c>
      <c r="CR158" s="166">
        <v>1153.7499999999998</v>
      </c>
      <c r="CS158" s="166">
        <v>1255.2944444444443</v>
      </c>
      <c r="CT158" s="166">
        <v>196.794444444444</v>
      </c>
      <c r="CU158" s="166">
        <v>1</v>
      </c>
      <c r="CV158" s="166">
        <v>197.794444444444</v>
      </c>
      <c r="CW158" s="166">
        <v>1256.2944444444443</v>
      </c>
      <c r="CX158" s="166">
        <v>0</v>
      </c>
      <c r="CY158" s="166">
        <v>110</v>
      </c>
      <c r="CZ158" s="165">
        <v>0</v>
      </c>
      <c r="DA158" s="165">
        <v>110</v>
      </c>
      <c r="DB158" s="165">
        <v>111</v>
      </c>
      <c r="DC158" s="165">
        <v>109</v>
      </c>
      <c r="DD158" s="165">
        <v>96</v>
      </c>
      <c r="DE158" s="165">
        <v>109</v>
      </c>
      <c r="DF158" s="165">
        <v>95</v>
      </c>
      <c r="DG158" s="165">
        <v>105</v>
      </c>
      <c r="DH158" s="165">
        <v>117</v>
      </c>
      <c r="DI158" s="165">
        <v>99</v>
      </c>
      <c r="DJ158" s="165">
        <v>97</v>
      </c>
      <c r="DK158" s="165">
        <v>87</v>
      </c>
      <c r="DL158" s="165">
        <v>83</v>
      </c>
      <c r="DM158" s="165">
        <v>60</v>
      </c>
      <c r="DN158" s="165">
        <v>625</v>
      </c>
      <c r="DO158" s="165">
        <v>216</v>
      </c>
      <c r="DP158" s="165">
        <v>327</v>
      </c>
      <c r="DQ158" s="165">
        <v>951</v>
      </c>
      <c r="DR158" s="165">
        <v>1168</v>
      </c>
      <c r="DS158" s="165">
        <v>1278</v>
      </c>
      <c r="DT158" s="165">
        <v>0</v>
      </c>
      <c r="DU158" s="165">
        <v>331</v>
      </c>
      <c r="DV158" s="165">
        <v>196</v>
      </c>
      <c r="DW158" s="165">
        <v>1</v>
      </c>
      <c r="DX158" s="165">
        <v>197</v>
      </c>
      <c r="DY158" s="165">
        <v>1279</v>
      </c>
      <c r="DZ158" s="165">
        <v>34</v>
      </c>
      <c r="EA158" s="166">
        <v>83.974999999999994</v>
      </c>
      <c r="EB158" s="166">
        <v>79.974999999999994</v>
      </c>
      <c r="EC158" s="166">
        <v>33.93</v>
      </c>
      <c r="ED158" s="166">
        <v>36.075000000000003</v>
      </c>
      <c r="EE158" s="166">
        <v>0</v>
      </c>
      <c r="EF158" s="166">
        <v>85.775000000000006</v>
      </c>
      <c r="EG158" s="167">
        <v>7.3690468740221393E-2</v>
      </c>
      <c r="EH158" s="165"/>
      <c r="EI158" s="165">
        <v>107</v>
      </c>
      <c r="EJ158" s="165">
        <v>1162</v>
      </c>
      <c r="EK158" s="165">
        <v>610</v>
      </c>
      <c r="EL158" s="165">
        <v>210</v>
      </c>
      <c r="EM158" s="165">
        <v>342</v>
      </c>
      <c r="EN158" s="165">
        <v>1269</v>
      </c>
      <c r="EO158" s="165">
        <v>0</v>
      </c>
      <c r="EP158" s="165">
        <v>185</v>
      </c>
      <c r="EQ158" s="165">
        <v>185</v>
      </c>
      <c r="ER158" s="165">
        <v>184</v>
      </c>
      <c r="ES158" s="165">
        <v>1</v>
      </c>
      <c r="ET158" s="165">
        <v>2</v>
      </c>
      <c r="EU158" s="166">
        <v>25</v>
      </c>
      <c r="EV158" s="166">
        <v>1.5</v>
      </c>
      <c r="EW158" s="166">
        <v>4</v>
      </c>
      <c r="EX158" s="166">
        <v>0.5</v>
      </c>
      <c r="EY158" s="166">
        <v>7</v>
      </c>
      <c r="EZ158" s="166">
        <v>38</v>
      </c>
      <c r="FA158" s="166">
        <v>0</v>
      </c>
      <c r="FB158" s="166">
        <v>109.15555555555555</v>
      </c>
      <c r="FC158" s="166">
        <v>109.15555555555555</v>
      </c>
      <c r="FD158" s="166">
        <v>106.93888888888888</v>
      </c>
      <c r="FE158" s="166">
        <v>108.56111111111112</v>
      </c>
      <c r="FF158" s="166">
        <v>93.961111111111109</v>
      </c>
      <c r="FG158" s="166">
        <v>106.47222222222223</v>
      </c>
      <c r="FH158" s="166">
        <v>94.811111111111117</v>
      </c>
      <c r="FI158" s="166">
        <v>104.36666666666666</v>
      </c>
      <c r="FJ158" s="166">
        <v>117.6</v>
      </c>
      <c r="FK158" s="166">
        <v>98.833333333333329</v>
      </c>
      <c r="FL158" s="166">
        <v>94.472222222222229</v>
      </c>
      <c r="FM158" s="166">
        <v>86.333333333333329</v>
      </c>
      <c r="FN158" s="166">
        <v>82</v>
      </c>
      <c r="FO158" s="166">
        <v>57.255555555555553</v>
      </c>
      <c r="FP158" s="166">
        <v>615.11111111111109</v>
      </c>
      <c r="FQ158" s="166">
        <v>216.43333333333334</v>
      </c>
      <c r="FR158" s="166">
        <v>320.06111111111107</v>
      </c>
      <c r="FS158" s="166">
        <v>940.70000000000016</v>
      </c>
      <c r="FT158" s="166">
        <v>1151.6055555555554</v>
      </c>
      <c r="FU158" s="166">
        <v>1260.7611111111112</v>
      </c>
      <c r="FV158" s="166">
        <v>194.97777777777779</v>
      </c>
      <c r="FW158" s="166">
        <v>1</v>
      </c>
      <c r="FX158" s="166">
        <v>195.97777777777779</v>
      </c>
      <c r="FY158" s="166">
        <v>1261.7611111111112</v>
      </c>
      <c r="FZ158" s="165">
        <v>0</v>
      </c>
      <c r="GA158" s="165">
        <v>118</v>
      </c>
      <c r="GB158" s="165">
        <v>118</v>
      </c>
      <c r="GC158" s="165">
        <v>109</v>
      </c>
      <c r="GD158" s="165">
        <v>100</v>
      </c>
      <c r="GE158" s="165">
        <v>112</v>
      </c>
      <c r="GF158" s="165">
        <v>91</v>
      </c>
      <c r="GG158" s="165">
        <v>105</v>
      </c>
      <c r="GH158" s="165">
        <v>96</v>
      </c>
      <c r="GI158" s="165">
        <v>128</v>
      </c>
      <c r="GJ158" s="165">
        <v>98</v>
      </c>
      <c r="GK158" s="165">
        <v>102</v>
      </c>
      <c r="GL158" s="165">
        <v>77</v>
      </c>
      <c r="GM158" s="165">
        <v>79</v>
      </c>
      <c r="GN158" s="165">
        <v>71</v>
      </c>
      <c r="GO158" s="165">
        <v>613</v>
      </c>
      <c r="GP158" s="165">
        <v>226</v>
      </c>
      <c r="GQ158" s="165">
        <v>329</v>
      </c>
      <c r="GR158" s="165">
        <v>957</v>
      </c>
      <c r="GS158" s="165">
        <v>1168</v>
      </c>
      <c r="GT158" s="165">
        <v>1286</v>
      </c>
      <c r="GU158" s="165">
        <v>0</v>
      </c>
      <c r="GV158" s="165">
        <v>341</v>
      </c>
      <c r="GW158" s="165">
        <v>193</v>
      </c>
      <c r="GX158" s="165">
        <v>2</v>
      </c>
      <c r="GY158" s="165">
        <v>195</v>
      </c>
      <c r="GZ158" s="165">
        <v>1288</v>
      </c>
      <c r="HA158" s="165">
        <v>21</v>
      </c>
      <c r="HB158" s="166">
        <v>85.24</v>
      </c>
      <c r="HC158" s="166">
        <v>81.239999999999995</v>
      </c>
      <c r="HD158" s="166">
        <v>34.054999999999993</v>
      </c>
      <c r="HE158" s="166">
        <v>35.68</v>
      </c>
      <c r="HF158" s="166"/>
      <c r="HG158" s="166">
        <v>87.03</v>
      </c>
      <c r="HH158" s="166">
        <v>0</v>
      </c>
      <c r="HI158" s="166">
        <v>199</v>
      </c>
      <c r="HJ158" s="166">
        <v>199</v>
      </c>
      <c r="HK158" s="166">
        <v>197</v>
      </c>
      <c r="HL158" s="166">
        <v>2</v>
      </c>
      <c r="HM158" s="166">
        <v>2</v>
      </c>
      <c r="HN158" s="166">
        <v>110</v>
      </c>
      <c r="HO158" s="166">
        <v>1176</v>
      </c>
      <c r="HP158" s="166">
        <v>627</v>
      </c>
      <c r="HQ158" s="166">
        <v>219</v>
      </c>
      <c r="HR158" s="166">
        <v>330</v>
      </c>
      <c r="HS158" s="166">
        <v>1286</v>
      </c>
      <c r="HT158" s="166">
        <f>FY26_FE_Data_April15[[#This Row],[Oct 1, 2026 (CDC) - K]]+FY26_FE_Data_April15[[#This Row],[Oct 1, 2026 (CDC) - Grades 1-6]]+FY26_FE_Data_April15[[#This Row],[Oct 1, 2026 (CDC) - Grades 7-8]]</f>
        <v>956</v>
      </c>
      <c r="HU158" s="166">
        <v>0</v>
      </c>
      <c r="HW158" s="170"/>
      <c r="HY158" s="170"/>
    </row>
    <row r="159" spans="1:233" ht="39">
      <c r="A159" s="158" t="s">
        <v>688</v>
      </c>
      <c r="B159" s="159" t="s">
        <v>689</v>
      </c>
      <c r="C159" s="160" t="s">
        <v>690</v>
      </c>
      <c r="D159" s="160" t="s">
        <v>139</v>
      </c>
      <c r="E159" s="159" t="s">
        <v>784</v>
      </c>
      <c r="F159" s="159" t="s">
        <v>784</v>
      </c>
      <c r="G159" s="159"/>
      <c r="H159" s="161">
        <v>276.52777777777777</v>
      </c>
      <c r="I159" s="161">
        <v>14.544444444444444</v>
      </c>
      <c r="J159" s="161">
        <v>291.07222222222219</v>
      </c>
      <c r="K159" s="162">
        <v>255</v>
      </c>
      <c r="L159" s="162">
        <v>1386</v>
      </c>
      <c r="M159" s="162">
        <v>377</v>
      </c>
      <c r="N159" s="162">
        <v>0</v>
      </c>
      <c r="O159" s="162">
        <v>2018</v>
      </c>
      <c r="P159" s="162">
        <v>1763</v>
      </c>
      <c r="Q159" s="162">
        <v>2018</v>
      </c>
      <c r="R159" s="162">
        <v>11</v>
      </c>
      <c r="S159" s="160">
        <v>251.90555555555557</v>
      </c>
      <c r="T159" s="160">
        <v>222.55555555555554</v>
      </c>
      <c r="U159" s="160">
        <v>242.37777777777777</v>
      </c>
      <c r="V159" s="160">
        <v>216.7</v>
      </c>
      <c r="W159" s="160">
        <v>236.6888888888889</v>
      </c>
      <c r="X159" s="160">
        <v>240.53333333333333</v>
      </c>
      <c r="Y159" s="160">
        <v>202.24444444444444</v>
      </c>
      <c r="Z159" s="160">
        <v>196.07777777777778</v>
      </c>
      <c r="AA159" s="160">
        <v>181.73888888888888</v>
      </c>
      <c r="AB159" s="160">
        <v>0</v>
      </c>
      <c r="AC159" s="160">
        <v>0</v>
      </c>
      <c r="AD159" s="160">
        <v>0</v>
      </c>
      <c r="AE159" s="160">
        <v>0</v>
      </c>
      <c r="AF159" s="160">
        <v>1361.1</v>
      </c>
      <c r="AG159" s="160">
        <v>377.81666666666666</v>
      </c>
      <c r="AH159" s="160">
        <v>0</v>
      </c>
      <c r="AI159" s="160">
        <v>1990.8222222222221</v>
      </c>
      <c r="AJ159" s="160">
        <v>1738.9166666666665</v>
      </c>
      <c r="AK159" s="160">
        <v>1990.8222222222221</v>
      </c>
      <c r="AL159" s="161">
        <v>268.23333333333335</v>
      </c>
      <c r="AM159" s="161">
        <v>11.861111111111111</v>
      </c>
      <c r="AN159" s="161">
        <v>280.09444444444443</v>
      </c>
      <c r="AO159" s="161">
        <v>2002.6833333333332</v>
      </c>
      <c r="AP159" s="162">
        <v>252</v>
      </c>
      <c r="AQ159" s="168">
        <v>251</v>
      </c>
      <c r="AR159" s="160">
        <v>237</v>
      </c>
      <c r="AS159" s="160">
        <v>240</v>
      </c>
      <c r="AT159" s="160">
        <v>211</v>
      </c>
      <c r="AU159" s="160">
        <v>234</v>
      </c>
      <c r="AV159" s="160">
        <v>212</v>
      </c>
      <c r="AW159" s="160">
        <v>184</v>
      </c>
      <c r="AX159" s="160">
        <v>195</v>
      </c>
      <c r="AY159" s="160">
        <v>147</v>
      </c>
      <c r="AZ159" s="160">
        <v>144</v>
      </c>
      <c r="BA159" s="160">
        <v>126</v>
      </c>
      <c r="BB159" s="160">
        <v>131</v>
      </c>
      <c r="BC159" s="160">
        <v>1385</v>
      </c>
      <c r="BD159" s="160">
        <v>379</v>
      </c>
      <c r="BE159" s="160">
        <v>548</v>
      </c>
      <c r="BF159" s="160">
        <v>2016</v>
      </c>
      <c r="BG159" s="160">
        <v>2312</v>
      </c>
      <c r="BH159" s="160">
        <v>2564</v>
      </c>
      <c r="BI159" s="160">
        <v>151</v>
      </c>
      <c r="BJ159" s="160">
        <v>101</v>
      </c>
      <c r="BK159" s="160">
        <v>1</v>
      </c>
      <c r="BL159" s="160">
        <v>451</v>
      </c>
      <c r="BM159" s="160">
        <v>353</v>
      </c>
      <c r="BN159" s="162">
        <v>11</v>
      </c>
      <c r="BO159" s="162">
        <v>364</v>
      </c>
      <c r="BP159" s="162">
        <v>141</v>
      </c>
      <c r="BQ159" s="163">
        <v>6.9905857740585386E-2</v>
      </c>
      <c r="BR159" s="164">
        <v>173.32</v>
      </c>
      <c r="BS159" s="164">
        <v>165.92</v>
      </c>
      <c r="BT159" s="164">
        <v>159.69499999999999</v>
      </c>
      <c r="BU159" s="164">
        <v>172.57</v>
      </c>
      <c r="BV159" s="165">
        <v>0</v>
      </c>
      <c r="BW159" s="165">
        <v>0</v>
      </c>
      <c r="BX159" s="166">
        <v>0</v>
      </c>
      <c r="BY159" s="166">
        <v>100.433333</v>
      </c>
      <c r="BZ159" s="166">
        <v>151.18888799999999</v>
      </c>
      <c r="CA159" s="166">
        <v>251.62222222222223</v>
      </c>
      <c r="CB159" s="166">
        <v>246.86111111111111</v>
      </c>
      <c r="CC159" s="166">
        <v>228.32777777777778</v>
      </c>
      <c r="CD159" s="166">
        <v>234.5</v>
      </c>
      <c r="CE159" s="166">
        <v>209.35</v>
      </c>
      <c r="CF159" s="166">
        <v>229.3</v>
      </c>
      <c r="CG159" s="166">
        <v>209.5888888888889</v>
      </c>
      <c r="CH159" s="166">
        <v>184.65555555555557</v>
      </c>
      <c r="CI159" s="166">
        <v>190.64444444444445</v>
      </c>
      <c r="CJ159" s="166">
        <v>142.20555555555555</v>
      </c>
      <c r="CK159" s="166">
        <v>140.77777777777777</v>
      </c>
      <c r="CL159" s="166">
        <v>127.35</v>
      </c>
      <c r="CM159" s="166">
        <v>122.35</v>
      </c>
      <c r="CN159" s="166">
        <v>1357.9277777777779</v>
      </c>
      <c r="CO159" s="166">
        <v>375.3</v>
      </c>
      <c r="CP159" s="166">
        <v>532.68333333333339</v>
      </c>
      <c r="CQ159" s="166">
        <v>1984.85</v>
      </c>
      <c r="CR159" s="166">
        <v>2265.911111111111</v>
      </c>
      <c r="CS159" s="166">
        <v>2517.5333333333333</v>
      </c>
      <c r="CT159" s="166">
        <v>348.31111111111102</v>
      </c>
      <c r="CU159" s="166">
        <v>10.255555555555601</v>
      </c>
      <c r="CV159" s="166">
        <v>358.56666666666661</v>
      </c>
      <c r="CW159" s="166">
        <v>2527.7888888888888</v>
      </c>
      <c r="CX159" s="166">
        <v>0</v>
      </c>
      <c r="CY159" s="166">
        <v>149</v>
      </c>
      <c r="CZ159" s="165">
        <v>87</v>
      </c>
      <c r="DA159" s="165">
        <v>236</v>
      </c>
      <c r="DB159" s="165">
        <v>263</v>
      </c>
      <c r="DC159" s="165">
        <v>259</v>
      </c>
      <c r="DD159" s="165">
        <v>225</v>
      </c>
      <c r="DE159" s="165">
        <v>226</v>
      </c>
      <c r="DF159" s="165">
        <v>198</v>
      </c>
      <c r="DG159" s="165">
        <v>199</v>
      </c>
      <c r="DH159" s="165">
        <v>175</v>
      </c>
      <c r="DI159" s="165">
        <v>188</v>
      </c>
      <c r="DJ159" s="165">
        <v>187</v>
      </c>
      <c r="DK159" s="165">
        <v>139</v>
      </c>
      <c r="DL159" s="165">
        <v>145</v>
      </c>
      <c r="DM159" s="165">
        <v>128</v>
      </c>
      <c r="DN159" s="165">
        <v>1370</v>
      </c>
      <c r="DO159" s="165">
        <v>363</v>
      </c>
      <c r="DP159" s="165">
        <v>599</v>
      </c>
      <c r="DQ159" s="165">
        <v>1969</v>
      </c>
      <c r="DR159" s="165">
        <v>2332</v>
      </c>
      <c r="DS159" s="165">
        <v>2568</v>
      </c>
      <c r="DT159" s="165">
        <v>1</v>
      </c>
      <c r="DU159" s="165">
        <v>534</v>
      </c>
      <c r="DV159" s="165">
        <v>337</v>
      </c>
      <c r="DW159" s="165">
        <v>19</v>
      </c>
      <c r="DX159" s="165">
        <v>356</v>
      </c>
      <c r="DY159" s="165">
        <v>2587</v>
      </c>
      <c r="DZ159" s="165">
        <v>173</v>
      </c>
      <c r="EA159" s="166">
        <v>175.70899999999997</v>
      </c>
      <c r="EB159" s="166">
        <v>167.70899999999997</v>
      </c>
      <c r="EC159" s="166">
        <v>80.625</v>
      </c>
      <c r="ED159" s="166">
        <v>60.980000000000004</v>
      </c>
      <c r="EE159" s="166">
        <v>0</v>
      </c>
      <c r="EF159" s="166">
        <v>177.50900000000001</v>
      </c>
      <c r="EG159" s="167">
        <v>6.8431796349663343E-2</v>
      </c>
      <c r="EH159" s="165"/>
      <c r="EI159" s="165">
        <v>198</v>
      </c>
      <c r="EJ159" s="165">
        <v>2351</v>
      </c>
      <c r="EK159" s="165">
        <v>1423</v>
      </c>
      <c r="EL159" s="165">
        <v>339</v>
      </c>
      <c r="EM159" s="165">
        <v>589</v>
      </c>
      <c r="EN159" s="165">
        <v>2549</v>
      </c>
      <c r="EO159" s="165">
        <v>0</v>
      </c>
      <c r="EP159" s="165">
        <v>363</v>
      </c>
      <c r="EQ159" s="165">
        <v>363</v>
      </c>
      <c r="ER159" s="165">
        <v>346</v>
      </c>
      <c r="ES159" s="165">
        <v>17</v>
      </c>
      <c r="ET159" s="165">
        <v>2</v>
      </c>
      <c r="EU159" s="166">
        <v>46.85</v>
      </c>
      <c r="EV159" s="166">
        <v>1.6</v>
      </c>
      <c r="EW159" s="166">
        <v>12.2</v>
      </c>
      <c r="EX159" s="166">
        <v>11</v>
      </c>
      <c r="EY159" s="166">
        <v>32.619999999999997</v>
      </c>
      <c r="EZ159" s="166">
        <v>104.27000000000001</v>
      </c>
      <c r="FA159" s="166">
        <v>63.805555555555557</v>
      </c>
      <c r="FB159" s="166">
        <v>169.88888888888889</v>
      </c>
      <c r="FC159" s="166">
        <v>233.69444444444446</v>
      </c>
      <c r="FD159" s="166">
        <v>261.02777777777777</v>
      </c>
      <c r="FE159" s="166">
        <v>252.21111111111111</v>
      </c>
      <c r="FF159" s="166">
        <v>221.86666666666667</v>
      </c>
      <c r="FG159" s="166">
        <v>223.78333333333333</v>
      </c>
      <c r="FH159" s="166">
        <v>196.88888888888889</v>
      </c>
      <c r="FI159" s="166">
        <v>198.10555555555555</v>
      </c>
      <c r="FJ159" s="166">
        <v>174.25</v>
      </c>
      <c r="FK159" s="166">
        <v>186.62777777777777</v>
      </c>
      <c r="FL159" s="166">
        <v>184.08333333333334</v>
      </c>
      <c r="FM159" s="166">
        <v>136.1</v>
      </c>
      <c r="FN159" s="166">
        <v>142.73888888888888</v>
      </c>
      <c r="FO159" s="166">
        <v>119.55</v>
      </c>
      <c r="FP159" s="166">
        <v>1353.8833333333332</v>
      </c>
      <c r="FQ159" s="166">
        <v>360.87777777777774</v>
      </c>
      <c r="FR159" s="166">
        <v>582.47222222222217</v>
      </c>
      <c r="FS159" s="166">
        <v>1948.4555555555557</v>
      </c>
      <c r="FT159" s="166">
        <v>2297.2333333333331</v>
      </c>
      <c r="FU159" s="166">
        <v>2530.9277777777784</v>
      </c>
      <c r="FV159" s="166">
        <v>340.62222222222221</v>
      </c>
      <c r="FW159" s="166">
        <v>18.011111111111113</v>
      </c>
      <c r="FX159" s="166">
        <v>358.63333333333333</v>
      </c>
      <c r="FY159" s="166">
        <v>2548.9388888888893</v>
      </c>
      <c r="FZ159" s="165">
        <v>40</v>
      </c>
      <c r="GA159" s="165">
        <v>206</v>
      </c>
      <c r="GB159" s="165">
        <v>246</v>
      </c>
      <c r="GC159" s="165">
        <v>245</v>
      </c>
      <c r="GD159" s="165">
        <v>264</v>
      </c>
      <c r="GE159" s="165">
        <v>252</v>
      </c>
      <c r="GF159" s="165">
        <v>222</v>
      </c>
      <c r="GG159" s="165">
        <v>212</v>
      </c>
      <c r="GH159" s="165">
        <v>174</v>
      </c>
      <c r="GI159" s="165">
        <v>175</v>
      </c>
      <c r="GJ159" s="165">
        <v>173</v>
      </c>
      <c r="GK159" s="165">
        <v>152</v>
      </c>
      <c r="GL159" s="165">
        <v>175</v>
      </c>
      <c r="GM159" s="165">
        <v>130</v>
      </c>
      <c r="GN159" s="165">
        <v>142</v>
      </c>
      <c r="GO159" s="165">
        <v>1369</v>
      </c>
      <c r="GP159" s="165">
        <v>348</v>
      </c>
      <c r="GQ159" s="165">
        <v>599</v>
      </c>
      <c r="GR159" s="165">
        <v>1963</v>
      </c>
      <c r="GS159" s="165">
        <v>2316</v>
      </c>
      <c r="GT159" s="165">
        <v>2562</v>
      </c>
      <c r="GU159" s="165">
        <v>1</v>
      </c>
      <c r="GV159" s="165">
        <v>372</v>
      </c>
      <c r="GW159" s="165">
        <v>322</v>
      </c>
      <c r="GX159" s="165">
        <v>17</v>
      </c>
      <c r="GY159" s="165">
        <v>339</v>
      </c>
      <c r="GZ159" s="165">
        <v>2579</v>
      </c>
      <c r="HA159" s="165">
        <v>161</v>
      </c>
      <c r="HB159" s="166">
        <v>176.54499999999999</v>
      </c>
      <c r="HC159" s="166">
        <v>168.54499999999999</v>
      </c>
      <c r="HD159" s="166">
        <v>78.63000000000001</v>
      </c>
      <c r="HE159" s="166">
        <v>58.794999999999987</v>
      </c>
      <c r="HF159" s="166"/>
      <c r="HG159" s="166">
        <v>177.54499999999999</v>
      </c>
      <c r="HH159" s="166">
        <v>0</v>
      </c>
      <c r="HI159" s="166">
        <v>352</v>
      </c>
      <c r="HJ159" s="166">
        <v>352</v>
      </c>
      <c r="HK159" s="166">
        <v>332</v>
      </c>
      <c r="HL159" s="166">
        <v>20</v>
      </c>
      <c r="HM159" s="166">
        <v>1</v>
      </c>
      <c r="HN159" s="166">
        <v>247</v>
      </c>
      <c r="HO159" s="166">
        <v>2322</v>
      </c>
      <c r="HP159" s="166">
        <v>1376</v>
      </c>
      <c r="HQ159" s="166">
        <v>348</v>
      </c>
      <c r="HR159" s="166">
        <v>598</v>
      </c>
      <c r="HS159" s="166">
        <v>2569</v>
      </c>
      <c r="HT159" s="166">
        <f>FY26_FE_Data_April15[[#This Row],[Oct 1, 2026 (CDC) - K]]+FY26_FE_Data_April15[[#This Row],[Oct 1, 2026 (CDC) - Grades 1-6]]+FY26_FE_Data_April15[[#This Row],[Oct 1, 2026 (CDC) - Grades 7-8]]</f>
        <v>1971</v>
      </c>
      <c r="HU159" s="166">
        <v>0</v>
      </c>
      <c r="HW159" s="170"/>
      <c r="HY159" s="170"/>
    </row>
    <row r="160" spans="1:233">
      <c r="A160" s="158" t="s">
        <v>691</v>
      </c>
      <c r="B160" s="158" t="s">
        <v>692</v>
      </c>
      <c r="C160" s="157" t="s">
        <v>693</v>
      </c>
      <c r="D160" s="157" t="s">
        <v>139</v>
      </c>
      <c r="E160" s="159" t="s">
        <v>784</v>
      </c>
      <c r="F160" s="159" t="s">
        <v>784</v>
      </c>
      <c r="G160" s="159"/>
      <c r="H160" s="161">
        <v>4</v>
      </c>
      <c r="I160" s="161">
        <v>0</v>
      </c>
      <c r="J160" s="161">
        <v>4</v>
      </c>
      <c r="K160" s="162">
        <v>0</v>
      </c>
      <c r="L160" s="162">
        <v>0</v>
      </c>
      <c r="M160" s="162">
        <v>0</v>
      </c>
      <c r="N160" s="162">
        <v>329</v>
      </c>
      <c r="O160" s="162">
        <v>329</v>
      </c>
      <c r="P160" s="162">
        <v>329</v>
      </c>
      <c r="Q160" s="162">
        <v>0</v>
      </c>
      <c r="R160" s="162">
        <v>0</v>
      </c>
      <c r="S160" s="157">
        <v>0</v>
      </c>
      <c r="T160" s="157">
        <v>0</v>
      </c>
      <c r="U160" s="157">
        <v>0</v>
      </c>
      <c r="V160" s="157">
        <v>0</v>
      </c>
      <c r="W160" s="157">
        <v>0</v>
      </c>
      <c r="X160" s="157">
        <v>0</v>
      </c>
      <c r="Y160" s="157">
        <v>0</v>
      </c>
      <c r="Z160" s="157">
        <v>0</v>
      </c>
      <c r="AA160" s="157">
        <v>0</v>
      </c>
      <c r="AB160" s="157">
        <v>0</v>
      </c>
      <c r="AC160" s="157">
        <v>106.63888888888889</v>
      </c>
      <c r="AD160" s="157">
        <v>121.47222222222223</v>
      </c>
      <c r="AE160" s="157">
        <v>93.427777777777777</v>
      </c>
      <c r="AF160" s="157">
        <v>0</v>
      </c>
      <c r="AG160" s="157">
        <v>0</v>
      </c>
      <c r="AH160" s="157">
        <v>321.53888888888889</v>
      </c>
      <c r="AI160" s="157">
        <v>0</v>
      </c>
      <c r="AJ160" s="157">
        <v>321.53888888888889</v>
      </c>
      <c r="AK160" s="157">
        <v>321.53888888888889</v>
      </c>
      <c r="AL160" s="161">
        <v>4.6500000000000004</v>
      </c>
      <c r="AM160" s="161">
        <v>0</v>
      </c>
      <c r="AN160" s="161">
        <v>4.6500000000000004</v>
      </c>
      <c r="AO160" s="161">
        <v>321.53888888888889</v>
      </c>
      <c r="AP160" s="162">
        <v>0</v>
      </c>
      <c r="AQ160" s="184">
        <v>0</v>
      </c>
      <c r="AR160" s="157">
        <v>0</v>
      </c>
      <c r="AS160" s="157">
        <v>0</v>
      </c>
      <c r="AT160" s="157">
        <v>0</v>
      </c>
      <c r="AU160" s="157">
        <v>0</v>
      </c>
      <c r="AV160" s="157">
        <v>0</v>
      </c>
      <c r="AW160" s="157">
        <v>0</v>
      </c>
      <c r="AX160" s="157">
        <v>0</v>
      </c>
      <c r="AY160" s="157">
        <v>89</v>
      </c>
      <c r="AZ160" s="157">
        <v>87</v>
      </c>
      <c r="BA160" s="157">
        <v>101</v>
      </c>
      <c r="BB160" s="157">
        <v>108</v>
      </c>
      <c r="BC160" s="157">
        <v>0</v>
      </c>
      <c r="BD160" s="157">
        <v>0</v>
      </c>
      <c r="BE160" s="157">
        <v>385</v>
      </c>
      <c r="BF160" s="157">
        <v>0</v>
      </c>
      <c r="BG160" s="157">
        <v>385</v>
      </c>
      <c r="BH160" s="157">
        <v>385</v>
      </c>
      <c r="BI160" s="157">
        <v>0</v>
      </c>
      <c r="BJ160" s="157">
        <v>0</v>
      </c>
      <c r="BK160" s="157">
        <v>0</v>
      </c>
      <c r="BL160" s="160">
        <v>114</v>
      </c>
      <c r="BM160" s="157">
        <v>9</v>
      </c>
      <c r="BN160" s="162">
        <v>0</v>
      </c>
      <c r="BO160" s="162">
        <v>9</v>
      </c>
      <c r="BP160" s="162">
        <v>65</v>
      </c>
      <c r="BQ160" s="163">
        <v>0.10929357592093458</v>
      </c>
      <c r="BR160" s="164">
        <v>24.575000000000003</v>
      </c>
      <c r="BS160" s="164">
        <v>21.924999999999997</v>
      </c>
      <c r="BT160" s="164">
        <v>21.924999999999997</v>
      </c>
      <c r="BU160" s="164">
        <v>24.575000000000003</v>
      </c>
      <c r="BV160" s="165">
        <v>0</v>
      </c>
      <c r="BW160" s="165">
        <v>0</v>
      </c>
      <c r="BX160" s="166">
        <v>0</v>
      </c>
      <c r="BY160" s="166">
        <v>0</v>
      </c>
      <c r="BZ160" s="166">
        <v>0</v>
      </c>
      <c r="CA160" s="166">
        <v>0</v>
      </c>
      <c r="CB160" s="166">
        <v>0</v>
      </c>
      <c r="CC160" s="166">
        <v>0</v>
      </c>
      <c r="CD160" s="166">
        <v>0</v>
      </c>
      <c r="CE160" s="166">
        <v>0</v>
      </c>
      <c r="CF160" s="166">
        <v>0</v>
      </c>
      <c r="CG160" s="166">
        <v>0</v>
      </c>
      <c r="CH160" s="166">
        <v>0</v>
      </c>
      <c r="CI160" s="166">
        <v>0</v>
      </c>
      <c r="CJ160" s="166">
        <v>88.15</v>
      </c>
      <c r="CK160" s="166">
        <v>83.955555555555549</v>
      </c>
      <c r="CL160" s="166">
        <v>98.827777777777783</v>
      </c>
      <c r="CM160" s="166">
        <v>107.2</v>
      </c>
      <c r="CN160" s="166">
        <v>0</v>
      </c>
      <c r="CO160" s="166">
        <v>0</v>
      </c>
      <c r="CP160" s="166">
        <v>378.13333333333333</v>
      </c>
      <c r="CQ160" s="166">
        <v>0</v>
      </c>
      <c r="CR160" s="166">
        <v>378.13333333333333</v>
      </c>
      <c r="CS160" s="166">
        <v>378.13333333333333</v>
      </c>
      <c r="CT160" s="166">
        <v>8.6166666666666707</v>
      </c>
      <c r="CU160" s="166">
        <v>0</v>
      </c>
      <c r="CV160" s="166">
        <v>8.6166666666666707</v>
      </c>
      <c r="CW160" s="166">
        <v>378.13333333333333</v>
      </c>
      <c r="CX160" s="166">
        <v>0</v>
      </c>
      <c r="CY160" s="166">
        <v>0</v>
      </c>
      <c r="CZ160" s="165">
        <v>0</v>
      </c>
      <c r="DA160" s="165">
        <v>0</v>
      </c>
      <c r="DB160" s="165">
        <v>0</v>
      </c>
      <c r="DC160" s="165">
        <v>0</v>
      </c>
      <c r="DD160" s="165">
        <v>0</v>
      </c>
      <c r="DE160" s="165">
        <v>0</v>
      </c>
      <c r="DF160" s="165">
        <v>0</v>
      </c>
      <c r="DG160" s="165">
        <v>0</v>
      </c>
      <c r="DH160" s="165">
        <v>0</v>
      </c>
      <c r="DI160" s="165">
        <v>0</v>
      </c>
      <c r="DJ160" s="165">
        <v>88</v>
      </c>
      <c r="DK160" s="165">
        <v>109</v>
      </c>
      <c r="DL160" s="165">
        <v>83</v>
      </c>
      <c r="DM160" s="165">
        <v>86</v>
      </c>
      <c r="DN160" s="165">
        <v>0</v>
      </c>
      <c r="DO160" s="165">
        <v>0</v>
      </c>
      <c r="DP160" s="165">
        <v>366</v>
      </c>
      <c r="DQ160" s="165">
        <v>0</v>
      </c>
      <c r="DR160" s="165">
        <v>366</v>
      </c>
      <c r="DS160" s="165">
        <v>366</v>
      </c>
      <c r="DT160" s="165">
        <v>1</v>
      </c>
      <c r="DU160" s="165">
        <v>107</v>
      </c>
      <c r="DV160" s="165">
        <v>10</v>
      </c>
      <c r="DW160" s="165">
        <v>0</v>
      </c>
      <c r="DX160" s="165">
        <v>10</v>
      </c>
      <c r="DY160" s="165">
        <v>366</v>
      </c>
      <c r="DZ160" s="165">
        <v>43</v>
      </c>
      <c r="EA160" s="166">
        <v>25.459999999999997</v>
      </c>
      <c r="EB160" s="166">
        <v>22.76</v>
      </c>
      <c r="EC160" s="166">
        <v>0</v>
      </c>
      <c r="ED160" s="166">
        <v>18.663</v>
      </c>
      <c r="EE160" s="166">
        <v>0</v>
      </c>
      <c r="EF160" s="166">
        <v>25.459999999999997</v>
      </c>
      <c r="EG160" s="167">
        <v>0.10452127659574484</v>
      </c>
      <c r="EH160" s="165"/>
      <c r="EI160" s="165">
        <v>0</v>
      </c>
      <c r="EJ160" s="165">
        <v>365</v>
      </c>
      <c r="EK160" s="165">
        <v>0</v>
      </c>
      <c r="EL160" s="165">
        <v>0</v>
      </c>
      <c r="EM160" s="165">
        <v>365</v>
      </c>
      <c r="EN160" s="165">
        <v>365</v>
      </c>
      <c r="EO160" s="165">
        <v>0</v>
      </c>
      <c r="EP160" s="165">
        <v>9</v>
      </c>
      <c r="EQ160" s="165">
        <v>9</v>
      </c>
      <c r="ER160" s="165">
        <v>9</v>
      </c>
      <c r="ES160" s="165">
        <v>0</v>
      </c>
      <c r="ET160" s="165">
        <v>0</v>
      </c>
      <c r="EU160" s="166">
        <v>0.5</v>
      </c>
      <c r="EV160" s="166">
        <v>0</v>
      </c>
      <c r="EW160" s="166">
        <v>2</v>
      </c>
      <c r="EX160" s="166">
        <v>0.5</v>
      </c>
      <c r="EY160" s="166">
        <v>0</v>
      </c>
      <c r="EZ160" s="166">
        <v>3</v>
      </c>
      <c r="FA160" s="166">
        <v>0</v>
      </c>
      <c r="FB160" s="166">
        <v>0</v>
      </c>
      <c r="FC160" s="166">
        <v>0</v>
      </c>
      <c r="FD160" s="166">
        <v>0</v>
      </c>
      <c r="FE160" s="166">
        <v>0</v>
      </c>
      <c r="FF160" s="166">
        <v>0</v>
      </c>
      <c r="FG160" s="166">
        <v>0</v>
      </c>
      <c r="FH160" s="166">
        <v>0</v>
      </c>
      <c r="FI160" s="166">
        <v>0</v>
      </c>
      <c r="FJ160" s="166">
        <v>0</v>
      </c>
      <c r="FK160" s="166">
        <v>0</v>
      </c>
      <c r="FL160" s="166">
        <v>84.316666666666663</v>
      </c>
      <c r="FM160" s="166">
        <v>101.37222222222222</v>
      </c>
      <c r="FN160" s="166">
        <v>81.222222222222229</v>
      </c>
      <c r="FO160" s="166">
        <v>84.261111111111106</v>
      </c>
      <c r="FP160" s="166">
        <v>0</v>
      </c>
      <c r="FQ160" s="166">
        <v>0</v>
      </c>
      <c r="FR160" s="166">
        <v>351.17222222222222</v>
      </c>
      <c r="FS160" s="166">
        <v>0</v>
      </c>
      <c r="FT160" s="166">
        <v>351.17222222222222</v>
      </c>
      <c r="FU160" s="166">
        <v>351.17222222222222</v>
      </c>
      <c r="FV160" s="166">
        <v>8.8555555555555561</v>
      </c>
      <c r="FW160" s="166">
        <v>0</v>
      </c>
      <c r="FX160" s="166">
        <v>8.8555555555555561</v>
      </c>
      <c r="FY160" s="166">
        <v>351.17222222222222</v>
      </c>
      <c r="FZ160" s="165">
        <v>0</v>
      </c>
      <c r="GA160" s="165">
        <v>0</v>
      </c>
      <c r="GB160" s="165">
        <v>0</v>
      </c>
      <c r="GC160" s="165">
        <v>0</v>
      </c>
      <c r="GD160" s="165">
        <v>0</v>
      </c>
      <c r="GE160" s="165">
        <v>0</v>
      </c>
      <c r="GF160" s="165">
        <v>0</v>
      </c>
      <c r="GG160" s="165">
        <v>0</v>
      </c>
      <c r="GH160" s="165">
        <v>0</v>
      </c>
      <c r="GI160" s="165">
        <v>0</v>
      </c>
      <c r="GJ160" s="165">
        <v>0</v>
      </c>
      <c r="GK160" s="165">
        <v>106</v>
      </c>
      <c r="GL160" s="165">
        <v>105</v>
      </c>
      <c r="GM160" s="165">
        <v>87</v>
      </c>
      <c r="GN160" s="165">
        <v>72</v>
      </c>
      <c r="GO160" s="165">
        <v>0</v>
      </c>
      <c r="GP160" s="165">
        <v>0</v>
      </c>
      <c r="GQ160" s="165">
        <v>370</v>
      </c>
      <c r="GR160" s="165">
        <v>0</v>
      </c>
      <c r="GS160" s="165">
        <v>370</v>
      </c>
      <c r="GT160" s="165">
        <v>370</v>
      </c>
      <c r="GU160" s="165">
        <v>1</v>
      </c>
      <c r="GV160" s="165">
        <v>123</v>
      </c>
      <c r="GW160" s="165">
        <v>15</v>
      </c>
      <c r="GX160" s="165">
        <v>0</v>
      </c>
      <c r="GY160" s="165">
        <v>15</v>
      </c>
      <c r="GZ160" s="165">
        <v>370</v>
      </c>
      <c r="HA160" s="165">
        <v>38</v>
      </c>
      <c r="HB160" s="166">
        <v>24.38</v>
      </c>
      <c r="HC160" s="166">
        <v>23.38</v>
      </c>
      <c r="HD160" s="166">
        <v>0</v>
      </c>
      <c r="HE160" s="166">
        <v>19.503</v>
      </c>
      <c r="HF160" s="166"/>
      <c r="HG160" s="166">
        <v>23.38</v>
      </c>
      <c r="HH160" s="166">
        <v>0</v>
      </c>
      <c r="HI160" s="166">
        <v>15</v>
      </c>
      <c r="HJ160" s="166">
        <v>15</v>
      </c>
      <c r="HK160" s="166">
        <v>15</v>
      </c>
      <c r="HL160" s="166">
        <v>0</v>
      </c>
      <c r="HM160" s="166">
        <v>0</v>
      </c>
      <c r="HN160" s="166">
        <v>0</v>
      </c>
      <c r="HO160" s="166">
        <v>370</v>
      </c>
      <c r="HP160" s="166">
        <v>0</v>
      </c>
      <c r="HQ160" s="166">
        <v>0</v>
      </c>
      <c r="HR160" s="166">
        <v>370</v>
      </c>
      <c r="HS160" s="166">
        <v>370</v>
      </c>
      <c r="HT160" s="166">
        <f>FY26_FE_Data_April15[[#This Row],[Oct 1, 2026 (CDC) - K]]+FY26_FE_Data_April15[[#This Row],[Oct 1, 2026 (CDC) - Grades 1-6]]+FY26_FE_Data_April15[[#This Row],[Oct 1, 2026 (CDC) - Grades 7-8]]</f>
        <v>0</v>
      </c>
      <c r="HU160" s="166">
        <v>0</v>
      </c>
      <c r="HW160" s="170"/>
      <c r="HY160" s="170"/>
    </row>
    <row r="161" spans="1:233">
      <c r="A161" s="158" t="s">
        <v>694</v>
      </c>
      <c r="B161" s="158" t="s">
        <v>695</v>
      </c>
      <c r="C161" s="157" t="s">
        <v>696</v>
      </c>
      <c r="D161" s="157" t="s">
        <v>139</v>
      </c>
      <c r="E161" s="159" t="s">
        <v>784</v>
      </c>
      <c r="F161" s="159" t="s">
        <v>784</v>
      </c>
      <c r="G161" s="159"/>
      <c r="H161" s="161">
        <v>105.42222222222222</v>
      </c>
      <c r="I161" s="161">
        <v>3.8444444444444446</v>
      </c>
      <c r="J161" s="161">
        <v>109.26666666666667</v>
      </c>
      <c r="K161" s="162">
        <v>100</v>
      </c>
      <c r="L161" s="162">
        <v>619</v>
      </c>
      <c r="M161" s="162">
        <v>171</v>
      </c>
      <c r="N161" s="162">
        <v>66</v>
      </c>
      <c r="O161" s="162">
        <v>956</v>
      </c>
      <c r="P161" s="162">
        <v>856</v>
      </c>
      <c r="Q161" s="162">
        <v>890</v>
      </c>
      <c r="R161" s="162">
        <v>3</v>
      </c>
      <c r="S161" s="157">
        <v>101.11666666666666</v>
      </c>
      <c r="T161" s="157">
        <v>101.41666666666667</v>
      </c>
      <c r="U161" s="157">
        <v>108.96666666666667</v>
      </c>
      <c r="V161" s="157">
        <v>102.94444444444444</v>
      </c>
      <c r="W161" s="157">
        <v>100.12222222222222</v>
      </c>
      <c r="X161" s="157">
        <v>106.16111111111111</v>
      </c>
      <c r="Y161" s="157">
        <v>93.861111111111114</v>
      </c>
      <c r="Z161" s="157">
        <v>78.111111111111114</v>
      </c>
      <c r="AA161" s="157">
        <v>94.261111111111106</v>
      </c>
      <c r="AB161" s="157">
        <v>66.522222222222226</v>
      </c>
      <c r="AC161" s="157">
        <v>0</v>
      </c>
      <c r="AD161" s="157">
        <v>0</v>
      </c>
      <c r="AE161" s="157">
        <v>0</v>
      </c>
      <c r="AF161" s="157">
        <v>613.47222222222217</v>
      </c>
      <c r="AG161" s="157">
        <v>172.37222222222221</v>
      </c>
      <c r="AH161" s="157">
        <v>66.522222222222226</v>
      </c>
      <c r="AI161" s="157">
        <v>886.96111111111111</v>
      </c>
      <c r="AJ161" s="157">
        <v>852.36666666666656</v>
      </c>
      <c r="AK161" s="157">
        <v>953.48333333333335</v>
      </c>
      <c r="AL161" s="161">
        <v>113.67222222222222</v>
      </c>
      <c r="AM161" s="161">
        <v>2</v>
      </c>
      <c r="AN161" s="161">
        <v>115.67222222222222</v>
      </c>
      <c r="AO161" s="161">
        <v>955.48333333333335</v>
      </c>
      <c r="AP161" s="162">
        <v>94</v>
      </c>
      <c r="AQ161" s="184">
        <v>105</v>
      </c>
      <c r="AR161" s="157">
        <v>97</v>
      </c>
      <c r="AS161" s="157">
        <v>110</v>
      </c>
      <c r="AT161" s="157">
        <v>103</v>
      </c>
      <c r="AU161" s="157">
        <v>103</v>
      </c>
      <c r="AV161" s="157">
        <v>106</v>
      </c>
      <c r="AW161" s="157">
        <v>76</v>
      </c>
      <c r="AX161" s="157">
        <v>85</v>
      </c>
      <c r="AY161" s="157">
        <v>93</v>
      </c>
      <c r="AZ161" s="157">
        <v>0</v>
      </c>
      <c r="BA161" s="157">
        <v>0</v>
      </c>
      <c r="BB161" s="157">
        <v>0</v>
      </c>
      <c r="BC161" s="157">
        <v>624</v>
      </c>
      <c r="BD161" s="157">
        <v>161</v>
      </c>
      <c r="BE161" s="157">
        <v>93</v>
      </c>
      <c r="BF161" s="157">
        <v>879</v>
      </c>
      <c r="BG161" s="157">
        <v>878</v>
      </c>
      <c r="BH161" s="157">
        <v>972</v>
      </c>
      <c r="BI161" s="157">
        <v>0</v>
      </c>
      <c r="BJ161" s="157">
        <v>94</v>
      </c>
      <c r="BK161" s="157">
        <v>0</v>
      </c>
      <c r="BL161" s="160">
        <v>247</v>
      </c>
      <c r="BM161" s="157">
        <v>118</v>
      </c>
      <c r="BN161" s="162">
        <v>3</v>
      </c>
      <c r="BO161" s="162">
        <v>121</v>
      </c>
      <c r="BP161" s="162">
        <v>177</v>
      </c>
      <c r="BQ161" s="163">
        <v>6.0006429183731724E-2</v>
      </c>
      <c r="BR161" s="164">
        <v>60.201000000000001</v>
      </c>
      <c r="BS161" s="164">
        <v>57.201000000000001</v>
      </c>
      <c r="BT161" s="164">
        <v>54.15</v>
      </c>
      <c r="BU161" s="164">
        <v>60.463000000000001</v>
      </c>
      <c r="BV161" s="165">
        <v>0</v>
      </c>
      <c r="BW161" s="165">
        <v>0</v>
      </c>
      <c r="BX161" s="166">
        <v>0</v>
      </c>
      <c r="BY161" s="166">
        <v>94.622221999999994</v>
      </c>
      <c r="BZ161" s="166">
        <v>0</v>
      </c>
      <c r="CA161" s="166">
        <v>94.62222222222222</v>
      </c>
      <c r="CB161" s="166">
        <v>101.45555555555555</v>
      </c>
      <c r="CC161" s="166">
        <v>95.688888888888883</v>
      </c>
      <c r="CD161" s="166">
        <v>106.11111111111111</v>
      </c>
      <c r="CE161" s="166">
        <v>100.28333333333333</v>
      </c>
      <c r="CF161" s="166">
        <v>103.48888888888889</v>
      </c>
      <c r="CG161" s="166">
        <v>103.71111111111111</v>
      </c>
      <c r="CH161" s="166">
        <v>75.422222222222217</v>
      </c>
      <c r="CI161" s="166">
        <v>86.62222222222222</v>
      </c>
      <c r="CJ161" s="166">
        <v>92.361111111111114</v>
      </c>
      <c r="CK161" s="166">
        <v>0</v>
      </c>
      <c r="CL161" s="166">
        <v>0</v>
      </c>
      <c r="CM161" s="166">
        <v>0</v>
      </c>
      <c r="CN161" s="166">
        <v>610.73888888888882</v>
      </c>
      <c r="CO161" s="166">
        <v>162.04444444444442</v>
      </c>
      <c r="CP161" s="166">
        <v>92.361111111111114</v>
      </c>
      <c r="CQ161" s="166">
        <v>867.40555555555557</v>
      </c>
      <c r="CR161" s="166">
        <v>865.14444444444439</v>
      </c>
      <c r="CS161" s="166">
        <v>959.76666666666665</v>
      </c>
      <c r="CT161" s="166">
        <v>116.677777777778</v>
      </c>
      <c r="CU161" s="166">
        <v>2.2944444444444398</v>
      </c>
      <c r="CV161" s="166">
        <v>118.97222222222244</v>
      </c>
      <c r="CW161" s="166">
        <v>962.06111111111113</v>
      </c>
      <c r="CX161" s="166">
        <v>0</v>
      </c>
      <c r="CY161" s="166">
        <v>0</v>
      </c>
      <c r="CZ161" s="165">
        <v>94</v>
      </c>
      <c r="DA161" s="165">
        <v>94</v>
      </c>
      <c r="DB161" s="165">
        <v>101</v>
      </c>
      <c r="DC161" s="165">
        <v>102</v>
      </c>
      <c r="DD161" s="165">
        <v>94</v>
      </c>
      <c r="DE161" s="165">
        <v>102</v>
      </c>
      <c r="DF161" s="165">
        <v>111</v>
      </c>
      <c r="DG161" s="165">
        <v>101</v>
      </c>
      <c r="DH161" s="165">
        <v>96</v>
      </c>
      <c r="DI161" s="165">
        <v>78</v>
      </c>
      <c r="DJ161" s="165">
        <v>88</v>
      </c>
      <c r="DK161" s="165">
        <v>0</v>
      </c>
      <c r="DL161" s="165">
        <v>0</v>
      </c>
      <c r="DM161" s="165">
        <v>0</v>
      </c>
      <c r="DN161" s="165">
        <v>611</v>
      </c>
      <c r="DO161" s="165">
        <v>174</v>
      </c>
      <c r="DP161" s="165">
        <v>88</v>
      </c>
      <c r="DQ161" s="165">
        <v>879</v>
      </c>
      <c r="DR161" s="165">
        <v>873</v>
      </c>
      <c r="DS161" s="165">
        <v>967</v>
      </c>
      <c r="DT161" s="165">
        <v>0</v>
      </c>
      <c r="DU161" s="165">
        <v>276</v>
      </c>
      <c r="DV161" s="165">
        <v>116</v>
      </c>
      <c r="DW161" s="165">
        <v>3</v>
      </c>
      <c r="DX161" s="165">
        <v>119</v>
      </c>
      <c r="DY161" s="165">
        <v>970</v>
      </c>
      <c r="DZ161" s="165">
        <v>178</v>
      </c>
      <c r="EA161" s="166">
        <v>57.551000000000002</v>
      </c>
      <c r="EB161" s="166">
        <v>54.551000000000002</v>
      </c>
      <c r="EC161" s="166">
        <v>28.5</v>
      </c>
      <c r="ED161" s="166">
        <v>17.704999999999998</v>
      </c>
      <c r="EE161" s="166">
        <v>0</v>
      </c>
      <c r="EF161" s="166">
        <v>60.051000000000002</v>
      </c>
      <c r="EG161" s="167">
        <v>6.3903075974251267E-2</v>
      </c>
      <c r="EH161" s="165"/>
      <c r="EI161" s="165">
        <v>101</v>
      </c>
      <c r="EJ161" s="165">
        <v>863</v>
      </c>
      <c r="EK161" s="165">
        <v>624</v>
      </c>
      <c r="EL161" s="165">
        <v>173</v>
      </c>
      <c r="EM161" s="165">
        <v>66</v>
      </c>
      <c r="EN161" s="165">
        <v>964</v>
      </c>
      <c r="EO161" s="165">
        <v>0</v>
      </c>
      <c r="EP161" s="165">
        <v>117</v>
      </c>
      <c r="EQ161" s="165">
        <v>117</v>
      </c>
      <c r="ER161" s="165">
        <v>113</v>
      </c>
      <c r="ES161" s="165">
        <v>4</v>
      </c>
      <c r="ET161" s="165">
        <v>0</v>
      </c>
      <c r="EU161" s="166">
        <v>22.838000000000001</v>
      </c>
      <c r="EV161" s="166">
        <v>0</v>
      </c>
      <c r="EW161" s="166">
        <v>6.4749999999999996</v>
      </c>
      <c r="EX161" s="166">
        <v>1.238</v>
      </c>
      <c r="EY161" s="166">
        <v>11.688000000000001</v>
      </c>
      <c r="EZ161" s="166">
        <v>42.239000000000004</v>
      </c>
      <c r="FA161" s="166">
        <v>93.394444444444446</v>
      </c>
      <c r="FB161" s="166">
        <v>0</v>
      </c>
      <c r="FC161" s="166">
        <v>93.394444444444446</v>
      </c>
      <c r="FD161" s="166">
        <v>99.833333333333329</v>
      </c>
      <c r="FE161" s="166">
        <v>99.466666666666669</v>
      </c>
      <c r="FF161" s="166">
        <v>92.527777777777771</v>
      </c>
      <c r="FG161" s="166">
        <v>98.672222222222217</v>
      </c>
      <c r="FH161" s="166">
        <v>108.96666666666667</v>
      </c>
      <c r="FI161" s="166">
        <v>99.13333333333334</v>
      </c>
      <c r="FJ161" s="166">
        <v>94.794444444444451</v>
      </c>
      <c r="FK161" s="166">
        <v>75.511111111111106</v>
      </c>
      <c r="FL161" s="166">
        <v>83.488888888888894</v>
      </c>
      <c r="FM161" s="166">
        <v>0</v>
      </c>
      <c r="FN161" s="166">
        <v>0</v>
      </c>
      <c r="FO161" s="166">
        <v>0</v>
      </c>
      <c r="FP161" s="166">
        <v>598.6</v>
      </c>
      <c r="FQ161" s="166">
        <v>170.30555555555554</v>
      </c>
      <c r="FR161" s="166">
        <v>83.488888888888894</v>
      </c>
      <c r="FS161" s="166">
        <v>862.3</v>
      </c>
      <c r="FT161" s="166">
        <v>852.3944444444445</v>
      </c>
      <c r="FU161" s="166">
        <v>945.78888888888889</v>
      </c>
      <c r="FV161" s="166">
        <v>117.31111111111112</v>
      </c>
      <c r="FW161" s="166">
        <v>2.6166666666666667</v>
      </c>
      <c r="FX161" s="166">
        <v>119.92777777777778</v>
      </c>
      <c r="FY161" s="166">
        <v>948.40555555555557</v>
      </c>
      <c r="FZ161" s="165">
        <v>86</v>
      </c>
      <c r="GA161" s="165">
        <v>0</v>
      </c>
      <c r="GB161" s="165">
        <v>86</v>
      </c>
      <c r="GC161" s="165">
        <v>105</v>
      </c>
      <c r="GD161" s="165">
        <v>101</v>
      </c>
      <c r="GE161" s="165">
        <v>96</v>
      </c>
      <c r="GF161" s="165">
        <v>91</v>
      </c>
      <c r="GG161" s="165">
        <v>103</v>
      </c>
      <c r="GH161" s="165">
        <v>110</v>
      </c>
      <c r="GI161" s="165">
        <v>84</v>
      </c>
      <c r="GJ161" s="165">
        <v>89</v>
      </c>
      <c r="GK161" s="165">
        <v>68</v>
      </c>
      <c r="GL161" s="165">
        <v>0</v>
      </c>
      <c r="GM161" s="165">
        <v>0</v>
      </c>
      <c r="GN161" s="165">
        <v>0</v>
      </c>
      <c r="GO161" s="165">
        <v>606</v>
      </c>
      <c r="GP161" s="165">
        <v>173</v>
      </c>
      <c r="GQ161" s="165">
        <v>68</v>
      </c>
      <c r="GR161" s="165">
        <v>865</v>
      </c>
      <c r="GS161" s="165">
        <v>847</v>
      </c>
      <c r="GT161" s="165">
        <v>933</v>
      </c>
      <c r="GU161" s="165">
        <v>0</v>
      </c>
      <c r="GV161" s="165">
        <v>292</v>
      </c>
      <c r="GW161" s="165">
        <v>120</v>
      </c>
      <c r="GX161" s="165">
        <v>1</v>
      </c>
      <c r="GY161" s="165">
        <v>121</v>
      </c>
      <c r="GZ161" s="165">
        <v>934</v>
      </c>
      <c r="HA161" s="165">
        <v>152</v>
      </c>
      <c r="HB161" s="166">
        <v>55.817999999999998</v>
      </c>
      <c r="HC161" s="166">
        <v>53.817999999999998</v>
      </c>
      <c r="HD161" s="166">
        <v>29.5</v>
      </c>
      <c r="HE161" s="166">
        <v>15.92</v>
      </c>
      <c r="HF161" s="166"/>
      <c r="HG161" s="166">
        <v>57.052999999999997</v>
      </c>
      <c r="HH161" s="166">
        <v>0</v>
      </c>
      <c r="HI161" s="166">
        <v>115</v>
      </c>
      <c r="HJ161" s="166">
        <v>115</v>
      </c>
      <c r="HK161" s="166">
        <v>113</v>
      </c>
      <c r="HL161" s="166">
        <v>2</v>
      </c>
      <c r="HM161" s="166">
        <v>1</v>
      </c>
      <c r="HN161" s="166">
        <v>94</v>
      </c>
      <c r="HO161" s="166">
        <v>873</v>
      </c>
      <c r="HP161" s="166">
        <v>611</v>
      </c>
      <c r="HQ161" s="166">
        <v>174</v>
      </c>
      <c r="HR161" s="166">
        <v>88</v>
      </c>
      <c r="HS161" s="166">
        <v>967</v>
      </c>
      <c r="HT161" s="166">
        <f>FY26_FE_Data_April15[[#This Row],[Oct 1, 2026 (CDC) - K]]+FY26_FE_Data_April15[[#This Row],[Oct 1, 2026 (CDC) - Grades 1-6]]+FY26_FE_Data_April15[[#This Row],[Oct 1, 2026 (CDC) - Grades 7-8]]</f>
        <v>879</v>
      </c>
      <c r="HU161" s="166">
        <v>0</v>
      </c>
      <c r="HW161" s="170"/>
      <c r="HY161" s="170"/>
    </row>
    <row r="162" spans="1:233">
      <c r="A162" s="158" t="s">
        <v>697</v>
      </c>
      <c r="B162" s="158" t="s">
        <v>698</v>
      </c>
      <c r="C162" s="180" t="s">
        <v>699</v>
      </c>
      <c r="D162" s="157" t="s">
        <v>139</v>
      </c>
      <c r="E162" s="159" t="s">
        <v>784</v>
      </c>
      <c r="F162" s="159" t="s">
        <v>785</v>
      </c>
      <c r="G162" s="159" t="s">
        <v>785</v>
      </c>
      <c r="H162" s="161">
        <v>0</v>
      </c>
      <c r="I162" s="161">
        <v>0</v>
      </c>
      <c r="J162" s="161">
        <v>0</v>
      </c>
      <c r="K162" s="161">
        <v>0</v>
      </c>
      <c r="L162" s="161">
        <v>0</v>
      </c>
      <c r="M162" s="161">
        <v>0</v>
      </c>
      <c r="N162" s="161">
        <v>0</v>
      </c>
      <c r="O162" s="161">
        <v>0</v>
      </c>
      <c r="P162" s="161">
        <v>0</v>
      </c>
      <c r="Q162" s="161">
        <v>0</v>
      </c>
      <c r="R162" s="161">
        <v>0</v>
      </c>
      <c r="S162" s="161">
        <v>0</v>
      </c>
      <c r="T162" s="161">
        <v>0</v>
      </c>
      <c r="U162" s="161">
        <v>0</v>
      </c>
      <c r="V162" s="161">
        <v>0</v>
      </c>
      <c r="W162" s="161">
        <v>0</v>
      </c>
      <c r="X162" s="161">
        <v>0</v>
      </c>
      <c r="Y162" s="161">
        <v>0</v>
      </c>
      <c r="Z162" s="161">
        <v>0</v>
      </c>
      <c r="AA162" s="161">
        <v>0</v>
      </c>
      <c r="AB162" s="161">
        <v>0</v>
      </c>
      <c r="AC162" s="161">
        <v>0</v>
      </c>
      <c r="AD162" s="161">
        <v>0</v>
      </c>
      <c r="AE162" s="161">
        <v>0</v>
      </c>
      <c r="AF162" s="161">
        <v>0</v>
      </c>
      <c r="AG162" s="161">
        <v>0</v>
      </c>
      <c r="AH162" s="161">
        <v>0</v>
      </c>
      <c r="AI162" s="161">
        <v>0</v>
      </c>
      <c r="AJ162" s="161">
        <v>0</v>
      </c>
      <c r="AK162" s="161">
        <v>0</v>
      </c>
      <c r="AL162" s="161">
        <v>0</v>
      </c>
      <c r="AM162" s="161">
        <v>0</v>
      </c>
      <c r="AN162" s="161">
        <v>0</v>
      </c>
      <c r="AO162" s="161">
        <v>0</v>
      </c>
      <c r="AP162" s="161">
        <v>0</v>
      </c>
      <c r="AQ162" s="161">
        <v>0</v>
      </c>
      <c r="AR162" s="161">
        <v>0</v>
      </c>
      <c r="AS162" s="161">
        <v>0</v>
      </c>
      <c r="AT162" s="161">
        <v>0</v>
      </c>
      <c r="AU162" s="161">
        <v>0</v>
      </c>
      <c r="AV162" s="161">
        <v>0</v>
      </c>
      <c r="AW162" s="161">
        <v>0</v>
      </c>
      <c r="AX162" s="161">
        <v>0</v>
      </c>
      <c r="AY162" s="161">
        <v>0</v>
      </c>
      <c r="AZ162" s="161">
        <v>0</v>
      </c>
      <c r="BA162" s="161">
        <v>0</v>
      </c>
      <c r="BB162" s="161">
        <v>0</v>
      </c>
      <c r="BC162" s="161">
        <v>0</v>
      </c>
      <c r="BD162" s="161">
        <v>0</v>
      </c>
      <c r="BE162" s="161">
        <v>0</v>
      </c>
      <c r="BF162" s="161">
        <v>0</v>
      </c>
      <c r="BG162" s="161">
        <v>0</v>
      </c>
      <c r="BH162" s="161">
        <v>0</v>
      </c>
      <c r="BI162" s="161">
        <v>0</v>
      </c>
      <c r="BJ162" s="161">
        <v>0</v>
      </c>
      <c r="BK162" s="161">
        <v>0</v>
      </c>
      <c r="BL162" s="161">
        <v>0</v>
      </c>
      <c r="BM162" s="161">
        <v>0</v>
      </c>
      <c r="BN162" s="161">
        <v>0</v>
      </c>
      <c r="BO162" s="161">
        <v>0</v>
      </c>
      <c r="BP162" s="161">
        <v>0</v>
      </c>
      <c r="BQ162" s="161">
        <v>0</v>
      </c>
      <c r="BR162" s="161">
        <v>0</v>
      </c>
      <c r="BS162" s="161">
        <v>0</v>
      </c>
      <c r="BT162" s="161">
        <v>0</v>
      </c>
      <c r="BU162" s="161">
        <v>0</v>
      </c>
      <c r="BV162" s="161">
        <v>0</v>
      </c>
      <c r="BW162" s="161">
        <v>0</v>
      </c>
      <c r="BX162" s="161">
        <v>0</v>
      </c>
      <c r="BY162" s="161">
        <v>0</v>
      </c>
      <c r="BZ162" s="161">
        <v>0</v>
      </c>
      <c r="CA162" s="161">
        <v>0</v>
      </c>
      <c r="CB162" s="161">
        <v>0</v>
      </c>
      <c r="CC162" s="161">
        <v>0</v>
      </c>
      <c r="CD162" s="161">
        <v>0</v>
      </c>
      <c r="CE162" s="161">
        <v>0</v>
      </c>
      <c r="CF162" s="161">
        <v>0</v>
      </c>
      <c r="CG162" s="161">
        <v>0</v>
      </c>
      <c r="CH162" s="161">
        <v>0</v>
      </c>
      <c r="CI162" s="161">
        <v>0</v>
      </c>
      <c r="CJ162" s="161">
        <v>0</v>
      </c>
      <c r="CK162" s="161">
        <v>0</v>
      </c>
      <c r="CL162" s="161">
        <v>0</v>
      </c>
      <c r="CM162" s="161">
        <v>0</v>
      </c>
      <c r="CN162" s="161">
        <v>0</v>
      </c>
      <c r="CO162" s="161">
        <v>0</v>
      </c>
      <c r="CP162" s="161">
        <v>0</v>
      </c>
      <c r="CQ162" s="161">
        <v>0</v>
      </c>
      <c r="CR162" s="161">
        <v>0</v>
      </c>
      <c r="CS162" s="161">
        <v>0</v>
      </c>
      <c r="CT162" s="161">
        <v>0</v>
      </c>
      <c r="CU162" s="161">
        <v>0</v>
      </c>
      <c r="CV162" s="161">
        <v>0</v>
      </c>
      <c r="CW162" s="161">
        <v>0</v>
      </c>
      <c r="CX162" s="161">
        <v>0</v>
      </c>
      <c r="CY162" s="161">
        <v>0</v>
      </c>
      <c r="CZ162" s="161">
        <v>0</v>
      </c>
      <c r="DA162" s="161">
        <v>0</v>
      </c>
      <c r="DB162" s="161">
        <v>0</v>
      </c>
      <c r="DC162" s="161">
        <v>0</v>
      </c>
      <c r="DD162" s="161">
        <v>0</v>
      </c>
      <c r="DE162" s="161">
        <v>0</v>
      </c>
      <c r="DF162" s="161">
        <v>0</v>
      </c>
      <c r="DG162" s="161">
        <v>0</v>
      </c>
      <c r="DH162" s="161">
        <v>0</v>
      </c>
      <c r="DI162" s="161">
        <v>0</v>
      </c>
      <c r="DJ162" s="161">
        <v>0</v>
      </c>
      <c r="DK162" s="161">
        <v>0</v>
      </c>
      <c r="DL162" s="161">
        <v>0</v>
      </c>
      <c r="DM162" s="161">
        <v>0</v>
      </c>
      <c r="DN162" s="161">
        <v>0</v>
      </c>
      <c r="DO162" s="161">
        <v>0</v>
      </c>
      <c r="DP162" s="161">
        <v>0</v>
      </c>
      <c r="DQ162" s="161">
        <v>0</v>
      </c>
      <c r="DR162" s="161">
        <v>0</v>
      </c>
      <c r="DS162" s="161">
        <v>0</v>
      </c>
      <c r="DT162" s="161">
        <v>0</v>
      </c>
      <c r="DU162" s="161">
        <v>0</v>
      </c>
      <c r="DV162" s="161">
        <v>0</v>
      </c>
      <c r="DW162" s="161">
        <v>0</v>
      </c>
      <c r="DX162" s="161">
        <v>0</v>
      </c>
      <c r="DY162" s="161">
        <v>0</v>
      </c>
      <c r="DZ162" s="161">
        <v>0</v>
      </c>
      <c r="EA162" s="161">
        <v>0</v>
      </c>
      <c r="EB162" s="161">
        <v>0</v>
      </c>
      <c r="EC162" s="161">
        <v>0</v>
      </c>
      <c r="ED162" s="161">
        <v>0</v>
      </c>
      <c r="EE162" s="161">
        <v>0</v>
      </c>
      <c r="EF162" s="161">
        <v>0</v>
      </c>
      <c r="EG162" s="161">
        <v>0</v>
      </c>
      <c r="EH162" s="161">
        <v>0</v>
      </c>
      <c r="EI162" s="161">
        <v>0</v>
      </c>
      <c r="EJ162" s="161">
        <v>0</v>
      </c>
      <c r="EK162" s="161">
        <v>0</v>
      </c>
      <c r="EL162" s="161">
        <v>0</v>
      </c>
      <c r="EM162" s="161">
        <v>0</v>
      </c>
      <c r="EN162" s="161">
        <v>0</v>
      </c>
      <c r="EO162" s="161">
        <v>0</v>
      </c>
      <c r="EP162" s="161">
        <v>0</v>
      </c>
      <c r="EQ162" s="161">
        <v>0</v>
      </c>
      <c r="ER162" s="161">
        <v>0</v>
      </c>
      <c r="ES162" s="161">
        <v>0</v>
      </c>
      <c r="ET162" s="161">
        <v>0</v>
      </c>
      <c r="EU162" s="161">
        <v>0</v>
      </c>
      <c r="EV162" s="161">
        <v>0</v>
      </c>
      <c r="EW162" s="161">
        <v>0</v>
      </c>
      <c r="EX162" s="161">
        <v>0</v>
      </c>
      <c r="EY162" s="161">
        <v>0</v>
      </c>
      <c r="EZ162" s="161">
        <v>0</v>
      </c>
      <c r="FA162" s="166">
        <v>0</v>
      </c>
      <c r="FB162" s="166"/>
      <c r="FC162" s="166"/>
      <c r="FD162" s="166"/>
      <c r="FE162" s="166"/>
      <c r="FF162" s="166"/>
      <c r="FG162" s="166"/>
      <c r="FH162" s="166"/>
      <c r="FI162" s="166"/>
      <c r="FJ162" s="166"/>
      <c r="FK162" s="166"/>
      <c r="FL162" s="166"/>
      <c r="FM162" s="166"/>
      <c r="FN162" s="166"/>
      <c r="FO162" s="166"/>
      <c r="FP162" s="166"/>
      <c r="FQ162" s="166"/>
      <c r="FR162" s="166"/>
      <c r="FS162" s="166"/>
      <c r="FT162" s="166"/>
      <c r="FU162" s="166"/>
      <c r="FV162" s="166"/>
      <c r="FW162" s="166"/>
      <c r="FX162" s="166"/>
      <c r="FY162" s="166"/>
      <c r="FZ162" s="165">
        <v>0</v>
      </c>
      <c r="GA162" s="165">
        <v>0</v>
      </c>
      <c r="GB162" s="165">
        <v>0</v>
      </c>
      <c r="GC162" s="165">
        <v>0</v>
      </c>
      <c r="GD162" s="165">
        <v>0</v>
      </c>
      <c r="GE162" s="165">
        <v>0</v>
      </c>
      <c r="GF162" s="165">
        <v>0</v>
      </c>
      <c r="GG162" s="165">
        <v>0</v>
      </c>
      <c r="GH162" s="165">
        <v>0</v>
      </c>
      <c r="GI162" s="165">
        <v>0</v>
      </c>
      <c r="GJ162" s="165">
        <v>0</v>
      </c>
      <c r="GK162" s="165">
        <v>0</v>
      </c>
      <c r="GL162" s="165">
        <v>0</v>
      </c>
      <c r="GM162" s="165">
        <v>0</v>
      </c>
      <c r="GN162" s="165">
        <v>0</v>
      </c>
      <c r="GO162" s="165">
        <v>0</v>
      </c>
      <c r="GP162" s="165">
        <v>0</v>
      </c>
      <c r="GQ162" s="165">
        <v>0</v>
      </c>
      <c r="GR162" s="165">
        <v>0</v>
      </c>
      <c r="GS162" s="165">
        <v>0</v>
      </c>
      <c r="GT162" s="165">
        <v>0</v>
      </c>
      <c r="GU162" s="165">
        <v>0</v>
      </c>
      <c r="GV162" s="165">
        <v>0</v>
      </c>
      <c r="GW162" s="165">
        <v>0</v>
      </c>
      <c r="GX162" s="165">
        <v>0</v>
      </c>
      <c r="GY162" s="165">
        <v>0</v>
      </c>
      <c r="GZ162" s="165">
        <v>0</v>
      </c>
      <c r="HA162" s="165">
        <v>0</v>
      </c>
      <c r="HB162" s="166">
        <v>0</v>
      </c>
      <c r="HC162" s="166">
        <v>0</v>
      </c>
      <c r="HD162" s="166">
        <v>0</v>
      </c>
      <c r="HE162" s="166">
        <v>0</v>
      </c>
      <c r="HF162" s="166"/>
      <c r="HG162" s="166">
        <v>0</v>
      </c>
      <c r="HH162" s="166">
        <v>0</v>
      </c>
      <c r="HI162" s="166">
        <v>0</v>
      </c>
      <c r="HJ162" s="166">
        <v>0</v>
      </c>
      <c r="HK162" s="166">
        <v>0</v>
      </c>
      <c r="HL162" s="166">
        <v>0</v>
      </c>
      <c r="HM162" s="166">
        <v>0</v>
      </c>
      <c r="HN162" s="166">
        <v>0</v>
      </c>
      <c r="HO162" s="166">
        <v>0</v>
      </c>
      <c r="HP162" s="166">
        <v>0</v>
      </c>
      <c r="HQ162" s="166">
        <v>0</v>
      </c>
      <c r="HR162" s="166">
        <v>0</v>
      </c>
      <c r="HS162" s="166">
        <v>0</v>
      </c>
      <c r="HT162" s="166">
        <f>FY26_FE_Data_April15[[#This Row],[Oct 1, 2026 (CDC) - K]]+FY26_FE_Data_April15[[#This Row],[Oct 1, 2026 (CDC) - Grades 1-6]]+FY26_FE_Data_April15[[#This Row],[Oct 1, 2026 (CDC) - Grades 7-8]]</f>
        <v>0</v>
      </c>
      <c r="HU162" s="166">
        <v>0</v>
      </c>
      <c r="HW162" s="170"/>
      <c r="HY162" s="170"/>
    </row>
    <row r="163" spans="1:233">
      <c r="A163" s="158" t="s">
        <v>700</v>
      </c>
      <c r="B163" s="158" t="s">
        <v>701</v>
      </c>
      <c r="C163" s="157" t="s">
        <v>702</v>
      </c>
      <c r="D163" s="157" t="s">
        <v>139</v>
      </c>
      <c r="E163" s="159" t="s">
        <v>784</v>
      </c>
      <c r="F163" s="159" t="s">
        <v>784</v>
      </c>
      <c r="G163" s="159"/>
      <c r="H163" s="161">
        <v>56.111111111111114</v>
      </c>
      <c r="I163" s="161">
        <v>3.3777777777777778</v>
      </c>
      <c r="J163" s="161">
        <v>59.488888888888894</v>
      </c>
      <c r="K163" s="162">
        <v>0</v>
      </c>
      <c r="L163" s="162">
        <v>0</v>
      </c>
      <c r="M163" s="162">
        <v>0</v>
      </c>
      <c r="N163" s="162">
        <v>287</v>
      </c>
      <c r="O163" s="162">
        <v>287</v>
      </c>
      <c r="P163" s="162">
        <v>287</v>
      </c>
      <c r="Q163" s="162">
        <v>0</v>
      </c>
      <c r="R163" s="162">
        <v>3</v>
      </c>
      <c r="S163" s="157">
        <v>0</v>
      </c>
      <c r="T163" s="157">
        <v>0</v>
      </c>
      <c r="U163" s="157">
        <v>0</v>
      </c>
      <c r="V163" s="157">
        <v>0</v>
      </c>
      <c r="W163" s="157">
        <v>0</v>
      </c>
      <c r="X163" s="157">
        <v>0</v>
      </c>
      <c r="Y163" s="157">
        <v>0</v>
      </c>
      <c r="Z163" s="157">
        <v>0</v>
      </c>
      <c r="AA163" s="157">
        <v>0</v>
      </c>
      <c r="AB163" s="157">
        <v>51.18888888888889</v>
      </c>
      <c r="AC163" s="157">
        <v>63.755555555555553</v>
      </c>
      <c r="AD163" s="157">
        <v>73.761111111111106</v>
      </c>
      <c r="AE163" s="157">
        <v>81.355555555555554</v>
      </c>
      <c r="AF163" s="157">
        <v>0</v>
      </c>
      <c r="AG163" s="157">
        <v>0</v>
      </c>
      <c r="AH163" s="157">
        <v>270.06111111111113</v>
      </c>
      <c r="AI163" s="157">
        <v>0</v>
      </c>
      <c r="AJ163" s="157">
        <v>270.06111111111113</v>
      </c>
      <c r="AK163" s="157">
        <v>270.06111111111113</v>
      </c>
      <c r="AL163" s="161">
        <v>57.45</v>
      </c>
      <c r="AM163" s="161">
        <v>3.6722222222222221</v>
      </c>
      <c r="AN163" s="161">
        <v>61.122222222222227</v>
      </c>
      <c r="AO163" s="161">
        <v>273.73333333333335</v>
      </c>
      <c r="AP163" s="162">
        <v>0</v>
      </c>
      <c r="AQ163" s="184">
        <v>0</v>
      </c>
      <c r="AR163" s="157">
        <v>0</v>
      </c>
      <c r="AS163" s="157">
        <v>0</v>
      </c>
      <c r="AT163" s="157">
        <v>0</v>
      </c>
      <c r="AU163" s="157">
        <v>0</v>
      </c>
      <c r="AV163" s="157">
        <v>0</v>
      </c>
      <c r="AW163" s="157">
        <v>0</v>
      </c>
      <c r="AX163" s="157">
        <v>0</v>
      </c>
      <c r="AY163" s="157">
        <v>43</v>
      </c>
      <c r="AZ163" s="157">
        <v>79</v>
      </c>
      <c r="BA163" s="157">
        <v>78</v>
      </c>
      <c r="BB163" s="157">
        <v>75</v>
      </c>
      <c r="BC163" s="157">
        <v>0</v>
      </c>
      <c r="BD163" s="157">
        <v>0</v>
      </c>
      <c r="BE163" s="157">
        <v>275</v>
      </c>
      <c r="BF163" s="157">
        <v>0</v>
      </c>
      <c r="BG163" s="157">
        <v>275</v>
      </c>
      <c r="BH163" s="157">
        <v>275</v>
      </c>
      <c r="BI163" s="157">
        <v>0</v>
      </c>
      <c r="BJ163" s="157">
        <v>0</v>
      </c>
      <c r="BK163" s="157">
        <v>0</v>
      </c>
      <c r="BL163" s="160">
        <v>158</v>
      </c>
      <c r="BM163" s="157">
        <v>66</v>
      </c>
      <c r="BN163" s="162">
        <v>5</v>
      </c>
      <c r="BO163" s="162">
        <v>71</v>
      </c>
      <c r="BP163" s="162">
        <v>17</v>
      </c>
      <c r="BQ163" s="163">
        <v>5.7281553398058294E-2</v>
      </c>
      <c r="BR163" s="164">
        <v>18.536999999999999</v>
      </c>
      <c r="BS163" s="164">
        <v>16.536999999999999</v>
      </c>
      <c r="BT163" s="164">
        <v>16.536999999999999</v>
      </c>
      <c r="BU163" s="164">
        <v>19.536999999999999</v>
      </c>
      <c r="BV163" s="165">
        <v>0</v>
      </c>
      <c r="BW163" s="165">
        <v>0</v>
      </c>
      <c r="BX163" s="166">
        <v>0</v>
      </c>
      <c r="BY163" s="166">
        <v>0</v>
      </c>
      <c r="BZ163" s="166">
        <v>0</v>
      </c>
      <c r="CA163" s="166">
        <v>0</v>
      </c>
      <c r="CB163" s="166">
        <v>0</v>
      </c>
      <c r="CC163" s="166">
        <v>0</v>
      </c>
      <c r="CD163" s="166">
        <v>0</v>
      </c>
      <c r="CE163" s="166">
        <v>0</v>
      </c>
      <c r="CF163" s="166">
        <v>0</v>
      </c>
      <c r="CG163" s="166">
        <v>0</v>
      </c>
      <c r="CH163" s="166">
        <v>0</v>
      </c>
      <c r="CI163" s="166">
        <v>0</v>
      </c>
      <c r="CJ163" s="166">
        <v>48.12777777777778</v>
      </c>
      <c r="CK163" s="166">
        <v>84.61666666666666</v>
      </c>
      <c r="CL163" s="166">
        <v>78.905555555555551</v>
      </c>
      <c r="CM163" s="166">
        <v>75.838888888888889</v>
      </c>
      <c r="CN163" s="166">
        <v>0</v>
      </c>
      <c r="CO163" s="166">
        <v>0</v>
      </c>
      <c r="CP163" s="166">
        <v>287.48888888888888</v>
      </c>
      <c r="CQ163" s="166">
        <v>0</v>
      </c>
      <c r="CR163" s="166">
        <v>287.48888888888888</v>
      </c>
      <c r="CS163" s="166">
        <v>287.48888888888888</v>
      </c>
      <c r="CT163" s="166">
        <v>72.644444444444403</v>
      </c>
      <c r="CU163" s="166">
        <v>0</v>
      </c>
      <c r="CV163" s="166">
        <v>72.644444444444403</v>
      </c>
      <c r="CW163" s="166">
        <v>287.48888888888888</v>
      </c>
      <c r="CX163" s="166">
        <v>0</v>
      </c>
      <c r="CY163" s="166">
        <v>0</v>
      </c>
      <c r="CZ163" s="165">
        <v>0</v>
      </c>
      <c r="DA163" s="165">
        <v>0</v>
      </c>
      <c r="DB163" s="165">
        <v>0</v>
      </c>
      <c r="DC163" s="165">
        <v>0</v>
      </c>
      <c r="DD163" s="165">
        <v>0</v>
      </c>
      <c r="DE163" s="165">
        <v>0</v>
      </c>
      <c r="DF163" s="165">
        <v>0</v>
      </c>
      <c r="DG163" s="165">
        <v>0</v>
      </c>
      <c r="DH163" s="165">
        <v>0</v>
      </c>
      <c r="DI163" s="165">
        <v>0</v>
      </c>
      <c r="DJ163" s="165">
        <v>53</v>
      </c>
      <c r="DK163" s="165">
        <v>73</v>
      </c>
      <c r="DL163" s="165">
        <v>103</v>
      </c>
      <c r="DM163" s="165">
        <v>96</v>
      </c>
      <c r="DN163" s="165">
        <v>0</v>
      </c>
      <c r="DO163" s="165">
        <v>0</v>
      </c>
      <c r="DP163" s="165">
        <v>325</v>
      </c>
      <c r="DQ163" s="165">
        <v>0</v>
      </c>
      <c r="DR163" s="165">
        <v>325</v>
      </c>
      <c r="DS163" s="165">
        <v>325</v>
      </c>
      <c r="DT163" s="165">
        <v>0</v>
      </c>
      <c r="DU163" s="165">
        <v>199</v>
      </c>
      <c r="DV163" s="165">
        <v>74</v>
      </c>
      <c r="DW163" s="165">
        <v>2</v>
      </c>
      <c r="DX163" s="165">
        <v>76</v>
      </c>
      <c r="DY163" s="165">
        <v>327</v>
      </c>
      <c r="DZ163" s="165">
        <v>27</v>
      </c>
      <c r="EA163" s="166">
        <v>16.969000000000001</v>
      </c>
      <c r="EB163" s="166">
        <v>14.968999999999999</v>
      </c>
      <c r="EC163" s="166">
        <v>0</v>
      </c>
      <c r="ED163" s="166">
        <v>13.193999999999999</v>
      </c>
      <c r="EE163" s="166">
        <v>0</v>
      </c>
      <c r="EF163" s="166">
        <v>18.968999999999998</v>
      </c>
      <c r="EG163" s="167">
        <v>7.2060606060606047E-2</v>
      </c>
      <c r="EH163" s="165"/>
      <c r="EI163" s="165">
        <v>0</v>
      </c>
      <c r="EJ163" s="165">
        <v>323</v>
      </c>
      <c r="EK163" s="165">
        <v>0</v>
      </c>
      <c r="EL163" s="165">
        <v>0</v>
      </c>
      <c r="EM163" s="165">
        <v>323</v>
      </c>
      <c r="EN163" s="165">
        <v>323</v>
      </c>
      <c r="EO163" s="165">
        <v>0</v>
      </c>
      <c r="EP163" s="165">
        <v>81</v>
      </c>
      <c r="EQ163" s="165">
        <v>81</v>
      </c>
      <c r="ER163" s="165">
        <v>79</v>
      </c>
      <c r="ES163" s="165">
        <v>2</v>
      </c>
      <c r="ET163" s="165">
        <v>0</v>
      </c>
      <c r="EU163" s="166">
        <v>5</v>
      </c>
      <c r="EV163" s="166">
        <v>0.5</v>
      </c>
      <c r="EW163" s="166">
        <v>3</v>
      </c>
      <c r="EX163" s="166">
        <v>4.5</v>
      </c>
      <c r="EY163" s="166">
        <v>0</v>
      </c>
      <c r="EZ163" s="166">
        <v>13</v>
      </c>
      <c r="FA163" s="166">
        <v>0</v>
      </c>
      <c r="FB163" s="166">
        <v>0</v>
      </c>
      <c r="FC163" s="166">
        <v>0</v>
      </c>
      <c r="FD163" s="166">
        <v>0</v>
      </c>
      <c r="FE163" s="166">
        <v>0</v>
      </c>
      <c r="FF163" s="166">
        <v>0</v>
      </c>
      <c r="FG163" s="166">
        <v>0</v>
      </c>
      <c r="FH163" s="166">
        <v>0</v>
      </c>
      <c r="FI163" s="166">
        <v>0</v>
      </c>
      <c r="FJ163" s="166">
        <v>0</v>
      </c>
      <c r="FK163" s="166">
        <v>0</v>
      </c>
      <c r="FL163" s="166">
        <v>54.12777777777778</v>
      </c>
      <c r="FM163" s="166">
        <v>70.988888888888894</v>
      </c>
      <c r="FN163" s="166">
        <v>103.77777777777777</v>
      </c>
      <c r="FO163" s="166">
        <v>89.50555555555556</v>
      </c>
      <c r="FP163" s="166">
        <v>0</v>
      </c>
      <c r="FQ163" s="166">
        <v>0</v>
      </c>
      <c r="FR163" s="166">
        <v>318.39999999999998</v>
      </c>
      <c r="FS163" s="166">
        <v>0</v>
      </c>
      <c r="FT163" s="166">
        <v>318.39999999999998</v>
      </c>
      <c r="FU163" s="166">
        <v>318.39999999999998</v>
      </c>
      <c r="FV163" s="166">
        <v>78.349999999999994</v>
      </c>
      <c r="FW163" s="166">
        <v>1.7555555555555555</v>
      </c>
      <c r="FX163" s="166">
        <v>80.105555555555554</v>
      </c>
      <c r="FY163" s="166">
        <v>320.15555555555551</v>
      </c>
      <c r="FZ163" s="165">
        <v>0</v>
      </c>
      <c r="GA163" s="165">
        <v>0</v>
      </c>
      <c r="GB163" s="165">
        <v>0</v>
      </c>
      <c r="GC163" s="165">
        <v>0</v>
      </c>
      <c r="GD163" s="165">
        <v>0</v>
      </c>
      <c r="GE163" s="165">
        <v>0</v>
      </c>
      <c r="GF163" s="165">
        <v>0</v>
      </c>
      <c r="GG163" s="165">
        <v>0</v>
      </c>
      <c r="GH163" s="165">
        <v>0</v>
      </c>
      <c r="GI163" s="165">
        <v>0</v>
      </c>
      <c r="GJ163" s="165">
        <v>0</v>
      </c>
      <c r="GK163" s="165">
        <v>47</v>
      </c>
      <c r="GL163" s="165">
        <v>66</v>
      </c>
      <c r="GM163" s="165">
        <v>107</v>
      </c>
      <c r="GN163" s="165">
        <v>111</v>
      </c>
      <c r="GO163" s="165">
        <v>0</v>
      </c>
      <c r="GP163" s="165">
        <v>0</v>
      </c>
      <c r="GQ163" s="165">
        <v>331</v>
      </c>
      <c r="GR163" s="165">
        <v>0</v>
      </c>
      <c r="GS163" s="165">
        <v>331</v>
      </c>
      <c r="GT163" s="165">
        <v>331</v>
      </c>
      <c r="GU163" s="165">
        <v>0</v>
      </c>
      <c r="GV163" s="165">
        <v>140</v>
      </c>
      <c r="GW163" s="165">
        <v>71</v>
      </c>
      <c r="GX163" s="165">
        <v>0</v>
      </c>
      <c r="GY163" s="165">
        <v>71</v>
      </c>
      <c r="GZ163" s="165">
        <v>331</v>
      </c>
      <c r="HA163" s="165">
        <v>22</v>
      </c>
      <c r="HB163" s="166">
        <v>19.93</v>
      </c>
      <c r="HC163" s="166">
        <v>17.93</v>
      </c>
      <c r="HD163" s="166">
        <v>0</v>
      </c>
      <c r="HE163" s="166">
        <v>14.805</v>
      </c>
      <c r="HF163" s="166"/>
      <c r="HG163" s="166">
        <v>20.13</v>
      </c>
      <c r="HH163" s="166">
        <v>0</v>
      </c>
      <c r="HI163" s="166">
        <v>81</v>
      </c>
      <c r="HJ163" s="166">
        <v>81</v>
      </c>
      <c r="HK163" s="166">
        <v>80</v>
      </c>
      <c r="HL163" s="166">
        <v>1</v>
      </c>
      <c r="HM163" s="166">
        <v>1</v>
      </c>
      <c r="HN163" s="166">
        <v>0</v>
      </c>
      <c r="HO163" s="166">
        <v>331</v>
      </c>
      <c r="HP163" s="166">
        <v>0</v>
      </c>
      <c r="HQ163" s="166">
        <v>0</v>
      </c>
      <c r="HR163" s="166">
        <v>331</v>
      </c>
      <c r="HS163" s="166">
        <v>331</v>
      </c>
      <c r="HT163" s="166">
        <f>FY26_FE_Data_April15[[#This Row],[Oct 1, 2026 (CDC) - K]]+FY26_FE_Data_April15[[#This Row],[Oct 1, 2026 (CDC) - Grades 1-6]]+FY26_FE_Data_April15[[#This Row],[Oct 1, 2026 (CDC) - Grades 7-8]]</f>
        <v>0</v>
      </c>
      <c r="HU163" s="166">
        <v>0</v>
      </c>
      <c r="HW163" s="170"/>
      <c r="HY163" s="170"/>
    </row>
    <row r="164" spans="1:233">
      <c r="A164" s="158" t="s">
        <v>703</v>
      </c>
      <c r="B164" s="158" t="s">
        <v>704</v>
      </c>
      <c r="C164" s="157" t="s">
        <v>705</v>
      </c>
      <c r="D164" s="157" t="s">
        <v>139</v>
      </c>
      <c r="E164" s="159" t="s">
        <v>784</v>
      </c>
      <c r="F164" s="159" t="s">
        <v>784</v>
      </c>
      <c r="G164" s="159"/>
      <c r="H164" s="161">
        <v>2.4888888888888889</v>
      </c>
      <c r="I164" s="161">
        <v>0</v>
      </c>
      <c r="J164" s="161">
        <v>2.4888888888888889</v>
      </c>
      <c r="K164" s="162">
        <v>0</v>
      </c>
      <c r="L164" s="162">
        <v>0</v>
      </c>
      <c r="M164" s="162">
        <v>0</v>
      </c>
      <c r="N164" s="162">
        <v>484</v>
      </c>
      <c r="O164" s="162">
        <v>484</v>
      </c>
      <c r="P164" s="162">
        <v>484</v>
      </c>
      <c r="Q164" s="162">
        <v>0</v>
      </c>
      <c r="R164" s="162">
        <v>0</v>
      </c>
      <c r="S164" s="157">
        <v>0</v>
      </c>
      <c r="T164" s="157">
        <v>0</v>
      </c>
      <c r="U164" s="157">
        <v>0</v>
      </c>
      <c r="V164" s="157">
        <v>0</v>
      </c>
      <c r="W164" s="157">
        <v>0</v>
      </c>
      <c r="X164" s="157">
        <v>0</v>
      </c>
      <c r="Y164" s="157">
        <v>0</v>
      </c>
      <c r="Z164" s="157">
        <v>0</v>
      </c>
      <c r="AA164" s="157">
        <v>0</v>
      </c>
      <c r="AB164" s="157">
        <v>62.327777777777776</v>
      </c>
      <c r="AC164" s="157">
        <v>158.81666666666666</v>
      </c>
      <c r="AD164" s="157">
        <v>126.80555555555556</v>
      </c>
      <c r="AE164" s="157">
        <v>117.95555555555555</v>
      </c>
      <c r="AF164" s="157">
        <v>0</v>
      </c>
      <c r="AG164" s="157">
        <v>0</v>
      </c>
      <c r="AH164" s="157">
        <v>465.90555555555557</v>
      </c>
      <c r="AI164" s="157">
        <v>0</v>
      </c>
      <c r="AJ164" s="157">
        <v>465.90555555555557</v>
      </c>
      <c r="AK164" s="157">
        <v>465.90555555555557</v>
      </c>
      <c r="AL164" s="161">
        <v>2</v>
      </c>
      <c r="AM164" s="161">
        <v>0</v>
      </c>
      <c r="AN164" s="161">
        <v>2</v>
      </c>
      <c r="AO164" s="161">
        <v>465.90555555555557</v>
      </c>
      <c r="AP164" s="162">
        <v>0</v>
      </c>
      <c r="AQ164" s="184">
        <v>0</v>
      </c>
      <c r="AR164" s="157">
        <v>0</v>
      </c>
      <c r="AS164" s="157">
        <v>0</v>
      </c>
      <c r="AT164" s="157">
        <v>0</v>
      </c>
      <c r="AU164" s="157">
        <v>0</v>
      </c>
      <c r="AV164" s="157">
        <v>0</v>
      </c>
      <c r="AW164" s="157">
        <v>0</v>
      </c>
      <c r="AX164" s="157">
        <v>0</v>
      </c>
      <c r="AY164" s="157">
        <v>70</v>
      </c>
      <c r="AZ164" s="157">
        <v>176</v>
      </c>
      <c r="BA164" s="157">
        <v>147</v>
      </c>
      <c r="BB164" s="157">
        <v>129</v>
      </c>
      <c r="BC164" s="157">
        <v>0</v>
      </c>
      <c r="BD164" s="157">
        <v>0</v>
      </c>
      <c r="BE164" s="157">
        <v>522</v>
      </c>
      <c r="BF164" s="157">
        <v>0</v>
      </c>
      <c r="BG164" s="157">
        <v>522</v>
      </c>
      <c r="BH164" s="157">
        <v>522</v>
      </c>
      <c r="BI164" s="157">
        <v>0</v>
      </c>
      <c r="BJ164" s="157">
        <v>0</v>
      </c>
      <c r="BK164" s="157">
        <v>1</v>
      </c>
      <c r="BL164" s="160">
        <v>65</v>
      </c>
      <c r="BM164" s="157">
        <v>8</v>
      </c>
      <c r="BN164" s="162">
        <v>0</v>
      </c>
      <c r="BO164" s="162">
        <v>8</v>
      </c>
      <c r="BP164" s="162">
        <v>6</v>
      </c>
      <c r="BQ164" s="163">
        <v>0.10360951926138173</v>
      </c>
      <c r="BR164" s="164">
        <v>19.475999999999999</v>
      </c>
      <c r="BS164" s="164">
        <v>17.936</v>
      </c>
      <c r="BT164" s="164">
        <v>17.936</v>
      </c>
      <c r="BU164" s="164">
        <v>19.475999999999999</v>
      </c>
      <c r="BV164" s="165">
        <v>0</v>
      </c>
      <c r="BW164" s="165">
        <v>0</v>
      </c>
      <c r="BX164" s="166">
        <v>0</v>
      </c>
      <c r="BY164" s="166">
        <v>0</v>
      </c>
      <c r="BZ164" s="166">
        <v>0</v>
      </c>
      <c r="CA164" s="166">
        <v>0</v>
      </c>
      <c r="CB164" s="166">
        <v>0</v>
      </c>
      <c r="CC164" s="166">
        <v>0</v>
      </c>
      <c r="CD164" s="166">
        <v>0</v>
      </c>
      <c r="CE164" s="166">
        <v>0</v>
      </c>
      <c r="CF164" s="166">
        <v>0</v>
      </c>
      <c r="CG164" s="166">
        <v>0</v>
      </c>
      <c r="CH164" s="166">
        <v>0</v>
      </c>
      <c r="CI164" s="166">
        <v>0</v>
      </c>
      <c r="CJ164" s="166">
        <v>63.511111111111113</v>
      </c>
      <c r="CK164" s="166">
        <v>169.48888888888888</v>
      </c>
      <c r="CL164" s="166">
        <v>143.62222222222223</v>
      </c>
      <c r="CM164" s="166">
        <v>126.02777777777777</v>
      </c>
      <c r="CN164" s="166">
        <v>0</v>
      </c>
      <c r="CO164" s="166">
        <v>0</v>
      </c>
      <c r="CP164" s="166">
        <v>502.65000000000003</v>
      </c>
      <c r="CQ164" s="166">
        <v>0</v>
      </c>
      <c r="CR164" s="166">
        <v>502.65000000000003</v>
      </c>
      <c r="CS164" s="166">
        <v>502.65000000000003</v>
      </c>
      <c r="CT164" s="166">
        <v>5.1388888888888902</v>
      </c>
      <c r="CU164" s="166">
        <v>0</v>
      </c>
      <c r="CV164" s="166">
        <v>5.1388888888888902</v>
      </c>
      <c r="CW164" s="166">
        <v>502.65000000000003</v>
      </c>
      <c r="CX164" s="166">
        <v>0</v>
      </c>
      <c r="CY164" s="166">
        <v>0</v>
      </c>
      <c r="CZ164" s="165">
        <v>0</v>
      </c>
      <c r="DA164" s="165">
        <v>0</v>
      </c>
      <c r="DB164" s="165">
        <v>0</v>
      </c>
      <c r="DC164" s="165">
        <v>0</v>
      </c>
      <c r="DD164" s="165">
        <v>0</v>
      </c>
      <c r="DE164" s="165">
        <v>0</v>
      </c>
      <c r="DF164" s="165">
        <v>0</v>
      </c>
      <c r="DG164" s="165">
        <v>0</v>
      </c>
      <c r="DH164" s="165">
        <v>0</v>
      </c>
      <c r="DI164" s="165">
        <v>0</v>
      </c>
      <c r="DJ164" s="165">
        <v>68</v>
      </c>
      <c r="DK164" s="165">
        <v>163</v>
      </c>
      <c r="DL164" s="165">
        <v>163</v>
      </c>
      <c r="DM164" s="165">
        <v>144</v>
      </c>
      <c r="DN164" s="165">
        <v>0</v>
      </c>
      <c r="DO164" s="165">
        <v>0</v>
      </c>
      <c r="DP164" s="165">
        <v>538</v>
      </c>
      <c r="DQ164" s="165">
        <v>0</v>
      </c>
      <c r="DR164" s="165">
        <v>538</v>
      </c>
      <c r="DS164" s="165">
        <v>538</v>
      </c>
      <c r="DT164" s="165">
        <v>0</v>
      </c>
      <c r="DU164" s="165">
        <v>66</v>
      </c>
      <c r="DV164" s="165">
        <v>4</v>
      </c>
      <c r="DW164" s="165">
        <v>0</v>
      </c>
      <c r="DX164" s="165">
        <v>4</v>
      </c>
      <c r="DY164" s="165">
        <v>538</v>
      </c>
      <c r="DZ164" s="165">
        <v>1</v>
      </c>
      <c r="EA164" s="166">
        <v>18.735999999999997</v>
      </c>
      <c r="EB164" s="166">
        <v>17.195999999999998</v>
      </c>
      <c r="EC164" s="166">
        <v>0</v>
      </c>
      <c r="ED164" s="166">
        <v>12.696</v>
      </c>
      <c r="EE164" s="166">
        <v>0</v>
      </c>
      <c r="EF164" s="166">
        <v>20.195999999999998</v>
      </c>
      <c r="EG164" s="167">
        <v>0.10181831353230947</v>
      </c>
      <c r="EH164" s="165"/>
      <c r="EI164" s="165">
        <v>0</v>
      </c>
      <c r="EJ164" s="165">
        <v>535</v>
      </c>
      <c r="EK164" s="165">
        <v>0</v>
      </c>
      <c r="EL164" s="165">
        <v>0</v>
      </c>
      <c r="EM164" s="165">
        <v>535</v>
      </c>
      <c r="EN164" s="165">
        <v>535</v>
      </c>
      <c r="EO164" s="165">
        <v>0</v>
      </c>
      <c r="EP164" s="165">
        <v>2</v>
      </c>
      <c r="EQ164" s="165">
        <v>2</v>
      </c>
      <c r="ER164" s="165">
        <v>2</v>
      </c>
      <c r="ES164" s="165">
        <v>0</v>
      </c>
      <c r="ET164" s="165">
        <v>0</v>
      </c>
      <c r="EU164" s="166">
        <v>1.0249999999999999</v>
      </c>
      <c r="EV164" s="166">
        <v>0</v>
      </c>
      <c r="EW164" s="166">
        <v>0</v>
      </c>
      <c r="EX164" s="166">
        <v>0.375</v>
      </c>
      <c r="EY164" s="166">
        <v>0</v>
      </c>
      <c r="EZ164" s="166">
        <v>1.4</v>
      </c>
      <c r="FA164" s="166">
        <v>0</v>
      </c>
      <c r="FB164" s="166">
        <v>0</v>
      </c>
      <c r="FC164" s="166">
        <v>0</v>
      </c>
      <c r="FD164" s="166">
        <v>0</v>
      </c>
      <c r="FE164" s="166">
        <v>0</v>
      </c>
      <c r="FF164" s="166">
        <v>0</v>
      </c>
      <c r="FG164" s="166">
        <v>0</v>
      </c>
      <c r="FH164" s="166">
        <v>0</v>
      </c>
      <c r="FI164" s="166">
        <v>0</v>
      </c>
      <c r="FJ164" s="166">
        <v>0</v>
      </c>
      <c r="FK164" s="166">
        <v>0</v>
      </c>
      <c r="FL164" s="166">
        <v>65.166666666666671</v>
      </c>
      <c r="FM164" s="166">
        <v>155.57777777777778</v>
      </c>
      <c r="FN164" s="166">
        <v>159.76666666666668</v>
      </c>
      <c r="FO164" s="166">
        <v>142.30000000000001</v>
      </c>
      <c r="FP164" s="166">
        <v>0</v>
      </c>
      <c r="FQ164" s="166">
        <v>0</v>
      </c>
      <c r="FR164" s="166">
        <v>522.81111111111113</v>
      </c>
      <c r="FS164" s="166">
        <v>0</v>
      </c>
      <c r="FT164" s="166">
        <v>522.81111111111113</v>
      </c>
      <c r="FU164" s="166">
        <v>522.81111111111113</v>
      </c>
      <c r="FV164" s="166">
        <v>2.8055555555555554</v>
      </c>
      <c r="FW164" s="166">
        <v>0</v>
      </c>
      <c r="FX164" s="166">
        <v>2.8055555555555554</v>
      </c>
      <c r="FY164" s="166">
        <v>522.81111111111113</v>
      </c>
      <c r="FZ164" s="165">
        <v>0</v>
      </c>
      <c r="GA164" s="165">
        <v>0</v>
      </c>
      <c r="GB164" s="165">
        <v>0</v>
      </c>
      <c r="GC164" s="165">
        <v>0</v>
      </c>
      <c r="GD164" s="165">
        <v>0</v>
      </c>
      <c r="GE164" s="165">
        <v>0</v>
      </c>
      <c r="GF164" s="165">
        <v>0</v>
      </c>
      <c r="GG164" s="165">
        <v>0</v>
      </c>
      <c r="GH164" s="165">
        <v>0</v>
      </c>
      <c r="GI164" s="165">
        <v>0</v>
      </c>
      <c r="GJ164" s="165">
        <v>0</v>
      </c>
      <c r="GK164" s="165">
        <v>67</v>
      </c>
      <c r="GL164" s="165">
        <v>169</v>
      </c>
      <c r="GM164" s="165">
        <v>140</v>
      </c>
      <c r="GN164" s="165">
        <v>152</v>
      </c>
      <c r="GO164" s="165">
        <v>0</v>
      </c>
      <c r="GP164" s="165">
        <v>0</v>
      </c>
      <c r="GQ164" s="165">
        <v>528</v>
      </c>
      <c r="GR164" s="165">
        <v>0</v>
      </c>
      <c r="GS164" s="165">
        <v>528</v>
      </c>
      <c r="GT164" s="165">
        <v>528</v>
      </c>
      <c r="GU164" s="165">
        <v>0</v>
      </c>
      <c r="GV164" s="165">
        <v>61</v>
      </c>
      <c r="GW164" s="165">
        <v>5</v>
      </c>
      <c r="GX164" s="165">
        <v>0</v>
      </c>
      <c r="GY164" s="165">
        <v>5</v>
      </c>
      <c r="GZ164" s="165">
        <v>528</v>
      </c>
      <c r="HA164" s="165">
        <v>2</v>
      </c>
      <c r="HB164" s="166">
        <v>19.702999999999999</v>
      </c>
      <c r="HC164" s="166">
        <v>18.163</v>
      </c>
      <c r="HD164" s="166">
        <v>0</v>
      </c>
      <c r="HE164" s="166">
        <v>13.663</v>
      </c>
      <c r="HF164" s="166"/>
      <c r="HG164" s="166">
        <v>21.163</v>
      </c>
      <c r="HH164" s="166">
        <v>0</v>
      </c>
      <c r="HI164" s="166">
        <v>5</v>
      </c>
      <c r="HJ164" s="166">
        <v>5</v>
      </c>
      <c r="HK164" s="166">
        <v>5</v>
      </c>
      <c r="HL164" s="166">
        <v>0</v>
      </c>
      <c r="HM164" s="166">
        <v>0</v>
      </c>
      <c r="HN164" s="166">
        <v>0</v>
      </c>
      <c r="HO164" s="166">
        <v>538</v>
      </c>
      <c r="HP164" s="166">
        <v>0</v>
      </c>
      <c r="HQ164" s="166">
        <v>0</v>
      </c>
      <c r="HR164" s="166">
        <v>538</v>
      </c>
      <c r="HS164" s="166">
        <v>538</v>
      </c>
      <c r="HT164" s="166">
        <f>FY26_FE_Data_April15[[#This Row],[Oct 1, 2026 (CDC) - K]]+FY26_FE_Data_April15[[#This Row],[Oct 1, 2026 (CDC) - Grades 1-6]]+FY26_FE_Data_April15[[#This Row],[Oct 1, 2026 (CDC) - Grades 7-8]]</f>
        <v>0</v>
      </c>
      <c r="HU164" s="166">
        <v>0</v>
      </c>
      <c r="HW164" s="170"/>
      <c r="HY164" s="170"/>
    </row>
    <row r="165" spans="1:233">
      <c r="A165" s="158" t="s">
        <v>787</v>
      </c>
      <c r="B165" s="158" t="s">
        <v>788</v>
      </c>
      <c r="C165" s="157" t="s">
        <v>789</v>
      </c>
      <c r="D165" s="157" t="s">
        <v>139</v>
      </c>
      <c r="E165" s="159" t="s">
        <v>785</v>
      </c>
      <c r="F165" s="159" t="s">
        <v>784</v>
      </c>
      <c r="G165" s="159" t="s">
        <v>784</v>
      </c>
      <c r="H165" s="161">
        <v>0</v>
      </c>
      <c r="I165" s="161">
        <v>0</v>
      </c>
      <c r="J165" s="161">
        <v>0</v>
      </c>
      <c r="K165" s="161">
        <v>0</v>
      </c>
      <c r="L165" s="161">
        <v>0</v>
      </c>
      <c r="M165" s="161">
        <v>0</v>
      </c>
      <c r="N165" s="161">
        <v>0</v>
      </c>
      <c r="O165" s="161">
        <v>0</v>
      </c>
      <c r="P165" s="161">
        <v>0</v>
      </c>
      <c r="Q165" s="161">
        <v>0</v>
      </c>
      <c r="R165" s="161">
        <v>0</v>
      </c>
      <c r="S165" s="161">
        <v>0</v>
      </c>
      <c r="T165" s="161">
        <v>0</v>
      </c>
      <c r="U165" s="161">
        <v>0</v>
      </c>
      <c r="V165" s="161">
        <v>0</v>
      </c>
      <c r="W165" s="161">
        <v>0</v>
      </c>
      <c r="X165" s="161">
        <v>0</v>
      </c>
      <c r="Y165" s="161">
        <v>0</v>
      </c>
      <c r="Z165" s="161">
        <v>0</v>
      </c>
      <c r="AA165" s="161">
        <v>0</v>
      </c>
      <c r="AB165" s="161">
        <v>0</v>
      </c>
      <c r="AC165" s="161">
        <v>0</v>
      </c>
      <c r="AD165" s="161">
        <v>0</v>
      </c>
      <c r="AE165" s="161">
        <v>0</v>
      </c>
      <c r="AF165" s="161">
        <v>0</v>
      </c>
      <c r="AG165" s="161">
        <v>0</v>
      </c>
      <c r="AH165" s="161">
        <v>0</v>
      </c>
      <c r="AI165" s="161">
        <v>0</v>
      </c>
      <c r="AJ165" s="161">
        <v>0</v>
      </c>
      <c r="AK165" s="161">
        <v>0</v>
      </c>
      <c r="AL165" s="161">
        <v>0</v>
      </c>
      <c r="AM165" s="161">
        <v>0</v>
      </c>
      <c r="AN165" s="161">
        <v>0</v>
      </c>
      <c r="AO165" s="161">
        <v>0</v>
      </c>
      <c r="AP165" s="161">
        <v>0</v>
      </c>
      <c r="AQ165" s="161">
        <v>0</v>
      </c>
      <c r="AR165" s="161">
        <v>0</v>
      </c>
      <c r="AS165" s="161">
        <v>0</v>
      </c>
      <c r="AT165" s="161">
        <v>0</v>
      </c>
      <c r="AU165" s="161">
        <v>0</v>
      </c>
      <c r="AV165" s="161">
        <v>0</v>
      </c>
      <c r="AW165" s="161">
        <v>0</v>
      </c>
      <c r="AX165" s="161">
        <v>0</v>
      </c>
      <c r="AY165" s="161">
        <v>0</v>
      </c>
      <c r="AZ165" s="161">
        <v>0</v>
      </c>
      <c r="BA165" s="161">
        <v>0</v>
      </c>
      <c r="BB165" s="161">
        <v>0</v>
      </c>
      <c r="BC165" s="161">
        <v>0</v>
      </c>
      <c r="BD165" s="161">
        <v>0</v>
      </c>
      <c r="BE165" s="161">
        <v>0</v>
      </c>
      <c r="BF165" s="161">
        <v>0</v>
      </c>
      <c r="BG165" s="161">
        <v>0</v>
      </c>
      <c r="BH165" s="161">
        <v>0</v>
      </c>
      <c r="BI165" s="161">
        <v>0</v>
      </c>
      <c r="BJ165" s="161">
        <v>0</v>
      </c>
      <c r="BK165" s="161">
        <v>0</v>
      </c>
      <c r="BL165" s="161">
        <v>0</v>
      </c>
      <c r="BM165" s="161">
        <v>0</v>
      </c>
      <c r="BN165" s="161">
        <v>0</v>
      </c>
      <c r="BO165" s="161">
        <v>0</v>
      </c>
      <c r="BP165" s="161">
        <v>0</v>
      </c>
      <c r="BQ165" s="161">
        <v>0</v>
      </c>
      <c r="BR165" s="161">
        <v>0</v>
      </c>
      <c r="BS165" s="161">
        <v>0</v>
      </c>
      <c r="BT165" s="161">
        <v>0</v>
      </c>
      <c r="BU165" s="161">
        <v>0</v>
      </c>
      <c r="BV165" s="161">
        <v>0</v>
      </c>
      <c r="BW165" s="161">
        <v>0</v>
      </c>
      <c r="BX165" s="161">
        <v>0</v>
      </c>
      <c r="BY165" s="161">
        <v>0</v>
      </c>
      <c r="BZ165" s="161">
        <v>0</v>
      </c>
      <c r="CA165" s="166">
        <v>0</v>
      </c>
      <c r="CB165" s="166">
        <v>0</v>
      </c>
      <c r="CC165" s="166">
        <v>0</v>
      </c>
      <c r="CD165" s="166">
        <v>0</v>
      </c>
      <c r="CE165" s="166">
        <v>0</v>
      </c>
      <c r="CF165" s="166">
        <v>0</v>
      </c>
      <c r="CG165" s="166">
        <v>0</v>
      </c>
      <c r="CH165" s="166">
        <v>0</v>
      </c>
      <c r="CI165" s="166">
        <v>0</v>
      </c>
      <c r="CJ165" s="166">
        <v>0</v>
      </c>
      <c r="CK165" s="166">
        <v>0</v>
      </c>
      <c r="CL165" s="166">
        <v>0</v>
      </c>
      <c r="CM165" s="166">
        <v>0</v>
      </c>
      <c r="CN165" s="166">
        <v>0</v>
      </c>
      <c r="CO165" s="166">
        <v>0</v>
      </c>
      <c r="CP165" s="166">
        <v>0</v>
      </c>
      <c r="CQ165" s="166">
        <v>0</v>
      </c>
      <c r="CR165" s="166">
        <v>0</v>
      </c>
      <c r="CS165" s="166">
        <v>0</v>
      </c>
      <c r="CT165" s="161">
        <v>0</v>
      </c>
      <c r="CU165" s="161">
        <v>0</v>
      </c>
      <c r="CV165" s="161">
        <v>0</v>
      </c>
      <c r="CW165" s="161">
        <v>0</v>
      </c>
      <c r="CX165" s="161">
        <v>0</v>
      </c>
      <c r="CY165" s="161">
        <v>0</v>
      </c>
      <c r="CZ165" s="161">
        <v>0</v>
      </c>
      <c r="DA165" s="161">
        <v>0</v>
      </c>
      <c r="DB165" s="161">
        <v>0</v>
      </c>
      <c r="DC165" s="161">
        <v>0</v>
      </c>
      <c r="DD165" s="161">
        <v>0</v>
      </c>
      <c r="DE165" s="161">
        <v>0</v>
      </c>
      <c r="DF165" s="161">
        <v>0</v>
      </c>
      <c r="DG165" s="161">
        <v>0</v>
      </c>
      <c r="DH165" s="161">
        <v>0</v>
      </c>
      <c r="DI165" s="161">
        <v>0</v>
      </c>
      <c r="DJ165" s="161">
        <v>0</v>
      </c>
      <c r="DK165" s="161">
        <v>0</v>
      </c>
      <c r="DL165" s="161">
        <v>0</v>
      </c>
      <c r="DM165" s="161">
        <v>0</v>
      </c>
      <c r="DN165" s="161">
        <v>0</v>
      </c>
      <c r="DO165" s="161">
        <v>0</v>
      </c>
      <c r="DP165" s="161">
        <v>0</v>
      </c>
      <c r="DQ165" s="161">
        <v>0</v>
      </c>
      <c r="DR165" s="161">
        <v>0</v>
      </c>
      <c r="DS165" s="161">
        <v>0</v>
      </c>
      <c r="DT165" s="161">
        <v>0</v>
      </c>
      <c r="DU165" s="161">
        <v>0</v>
      </c>
      <c r="DV165" s="161">
        <v>0</v>
      </c>
      <c r="DW165" s="161">
        <v>0</v>
      </c>
      <c r="DX165" s="161">
        <v>0</v>
      </c>
      <c r="DY165" s="161">
        <v>0</v>
      </c>
      <c r="DZ165" s="161">
        <v>0</v>
      </c>
      <c r="EA165" s="161">
        <v>0</v>
      </c>
      <c r="EB165" s="161">
        <v>0</v>
      </c>
      <c r="EC165" s="161">
        <v>0</v>
      </c>
      <c r="ED165" s="161">
        <v>0</v>
      </c>
      <c r="EE165" s="161">
        <v>0</v>
      </c>
      <c r="EF165" s="161">
        <v>0</v>
      </c>
      <c r="EG165" s="186">
        <v>0</v>
      </c>
      <c r="EH165" s="161">
        <v>0</v>
      </c>
      <c r="EI165" s="161">
        <v>0</v>
      </c>
      <c r="EJ165" s="165">
        <v>140</v>
      </c>
      <c r="EK165" s="165">
        <v>80</v>
      </c>
      <c r="EL165" s="165">
        <v>40</v>
      </c>
      <c r="EM165" s="165">
        <v>20</v>
      </c>
      <c r="EN165" s="165">
        <v>140</v>
      </c>
      <c r="EO165" s="165">
        <v>0</v>
      </c>
      <c r="EP165" s="165">
        <v>0</v>
      </c>
      <c r="EQ165" s="165">
        <v>0</v>
      </c>
      <c r="ER165" s="165">
        <v>0</v>
      </c>
      <c r="ES165" s="165">
        <v>0</v>
      </c>
      <c r="ET165" s="165">
        <v>0</v>
      </c>
      <c r="EU165" s="166">
        <v>0</v>
      </c>
      <c r="EV165" s="166">
        <v>0</v>
      </c>
      <c r="EW165" s="166">
        <v>0</v>
      </c>
      <c r="EX165" s="166">
        <v>0</v>
      </c>
      <c r="EY165" s="166">
        <v>0</v>
      </c>
      <c r="EZ165" s="166">
        <v>0</v>
      </c>
      <c r="FA165" s="166">
        <v>0</v>
      </c>
      <c r="FB165" s="166">
        <v>0</v>
      </c>
      <c r="FC165" s="166">
        <v>0</v>
      </c>
      <c r="FD165" s="166">
        <v>0</v>
      </c>
      <c r="FE165" s="166">
        <v>0</v>
      </c>
      <c r="FF165" s="166">
        <v>0</v>
      </c>
      <c r="FG165" s="166">
        <v>0</v>
      </c>
      <c r="FH165" s="166">
        <v>0</v>
      </c>
      <c r="FI165" s="166">
        <v>0</v>
      </c>
      <c r="FJ165" s="166">
        <v>0</v>
      </c>
      <c r="FK165" s="166">
        <v>0</v>
      </c>
      <c r="FL165" s="166">
        <v>0</v>
      </c>
      <c r="FM165" s="166">
        <v>0</v>
      </c>
      <c r="FN165" s="166">
        <v>0</v>
      </c>
      <c r="FO165" s="166">
        <v>0</v>
      </c>
      <c r="FP165" s="166">
        <v>0</v>
      </c>
      <c r="FQ165" s="166">
        <v>0</v>
      </c>
      <c r="FR165" s="166">
        <v>0</v>
      </c>
      <c r="FS165" s="166">
        <v>0</v>
      </c>
      <c r="FT165" s="166">
        <v>0</v>
      </c>
      <c r="FU165" s="166">
        <v>0</v>
      </c>
      <c r="FV165" s="166">
        <v>0</v>
      </c>
      <c r="FW165" s="166">
        <v>0</v>
      </c>
      <c r="FX165" s="166">
        <v>0</v>
      </c>
      <c r="FY165" s="166">
        <v>0</v>
      </c>
      <c r="FZ165" s="165">
        <v>0</v>
      </c>
      <c r="GA165" s="165">
        <v>0</v>
      </c>
      <c r="GB165" s="165">
        <v>0</v>
      </c>
      <c r="GC165" s="165">
        <v>0</v>
      </c>
      <c r="GD165" s="165">
        <v>0</v>
      </c>
      <c r="GE165" s="165">
        <v>0</v>
      </c>
      <c r="GF165" s="165">
        <v>27</v>
      </c>
      <c r="GG165" s="165">
        <v>22</v>
      </c>
      <c r="GH165" s="165">
        <v>25</v>
      </c>
      <c r="GI165" s="165">
        <v>24</v>
      </c>
      <c r="GJ165" s="165">
        <v>32</v>
      </c>
      <c r="GK165" s="165">
        <v>4</v>
      </c>
      <c r="GL165" s="165">
        <v>4</v>
      </c>
      <c r="GM165" s="165">
        <v>1</v>
      </c>
      <c r="GN165" s="165">
        <v>2</v>
      </c>
      <c r="GO165" s="165">
        <v>74</v>
      </c>
      <c r="GP165" s="165">
        <v>56</v>
      </c>
      <c r="GQ165" s="165">
        <v>11</v>
      </c>
      <c r="GR165" s="165">
        <v>130</v>
      </c>
      <c r="GS165" s="165">
        <v>141</v>
      </c>
      <c r="GT165" s="165">
        <v>141</v>
      </c>
      <c r="GU165" s="165">
        <v>0</v>
      </c>
      <c r="GV165" s="165">
        <v>22</v>
      </c>
      <c r="GW165" s="165">
        <v>23</v>
      </c>
      <c r="GX165" s="165">
        <v>0</v>
      </c>
      <c r="GY165" s="165">
        <v>23</v>
      </c>
      <c r="GZ165" s="165">
        <v>141</v>
      </c>
      <c r="HA165" s="165">
        <v>0</v>
      </c>
      <c r="HB165" s="166">
        <v>10</v>
      </c>
      <c r="HC165" s="166">
        <v>10</v>
      </c>
      <c r="HD165" s="166">
        <v>4.7699999999999996</v>
      </c>
      <c r="HE165" s="166">
        <v>5.2299999999999995</v>
      </c>
      <c r="HF165" s="166"/>
      <c r="HG165" s="166">
        <v>11</v>
      </c>
      <c r="HH165" s="166">
        <v>0</v>
      </c>
      <c r="HI165" s="166">
        <v>26</v>
      </c>
      <c r="HJ165" s="166">
        <v>26</v>
      </c>
      <c r="HK165" s="166">
        <v>26</v>
      </c>
      <c r="HL165" s="166">
        <v>0</v>
      </c>
      <c r="HM165" s="166">
        <v>0</v>
      </c>
      <c r="HN165" s="166">
        <v>0</v>
      </c>
      <c r="HO165" s="166">
        <v>223</v>
      </c>
      <c r="HP165" s="166">
        <v>61</v>
      </c>
      <c r="HQ165" s="166">
        <v>54</v>
      </c>
      <c r="HR165" s="166">
        <v>108</v>
      </c>
      <c r="HS165" s="166">
        <v>223</v>
      </c>
      <c r="HT165" s="166">
        <f>FY26_FE_Data_April15[[#This Row],[Oct 1, 2026 (CDC) - K]]+FY26_FE_Data_April15[[#This Row],[Oct 1, 2026 (CDC) - Grades 1-6]]+FY26_FE_Data_April15[[#This Row],[Oct 1, 2026 (CDC) - Grades 7-8]]</f>
        <v>115</v>
      </c>
      <c r="HU165" s="166">
        <v>0</v>
      </c>
      <c r="HW165" s="170"/>
      <c r="HY165" s="170"/>
    </row>
    <row r="166" spans="1:233">
      <c r="A166" s="158" t="s">
        <v>790</v>
      </c>
      <c r="B166" s="158" t="s">
        <v>791</v>
      </c>
      <c r="C166" s="157" t="s">
        <v>792</v>
      </c>
      <c r="D166" s="157" t="s">
        <v>139</v>
      </c>
      <c r="E166" s="159" t="s">
        <v>785</v>
      </c>
      <c r="F166" s="159" t="s">
        <v>784</v>
      </c>
      <c r="G166" s="159" t="s">
        <v>784</v>
      </c>
      <c r="H166" s="161">
        <v>0</v>
      </c>
      <c r="I166" s="161">
        <v>0</v>
      </c>
      <c r="J166" s="161">
        <v>0</v>
      </c>
      <c r="K166" s="161">
        <v>0</v>
      </c>
      <c r="L166" s="161">
        <v>0</v>
      </c>
      <c r="M166" s="161">
        <v>0</v>
      </c>
      <c r="N166" s="161">
        <v>0</v>
      </c>
      <c r="O166" s="161">
        <v>0</v>
      </c>
      <c r="P166" s="161">
        <v>0</v>
      </c>
      <c r="Q166" s="161">
        <v>0</v>
      </c>
      <c r="R166" s="161">
        <v>0</v>
      </c>
      <c r="S166" s="161">
        <v>0</v>
      </c>
      <c r="T166" s="161">
        <v>0</v>
      </c>
      <c r="U166" s="161">
        <v>0</v>
      </c>
      <c r="V166" s="161">
        <v>0</v>
      </c>
      <c r="W166" s="161">
        <v>0</v>
      </c>
      <c r="X166" s="161">
        <v>0</v>
      </c>
      <c r="Y166" s="161">
        <v>0</v>
      </c>
      <c r="Z166" s="161">
        <v>0</v>
      </c>
      <c r="AA166" s="161">
        <v>0</v>
      </c>
      <c r="AB166" s="161">
        <v>0</v>
      </c>
      <c r="AC166" s="161">
        <v>0</v>
      </c>
      <c r="AD166" s="161">
        <v>0</v>
      </c>
      <c r="AE166" s="161">
        <v>0</v>
      </c>
      <c r="AF166" s="161">
        <v>0</v>
      </c>
      <c r="AG166" s="161">
        <v>0</v>
      </c>
      <c r="AH166" s="161">
        <v>0</v>
      </c>
      <c r="AI166" s="161">
        <v>0</v>
      </c>
      <c r="AJ166" s="161">
        <v>0</v>
      </c>
      <c r="AK166" s="161">
        <v>0</v>
      </c>
      <c r="AL166" s="161">
        <v>0</v>
      </c>
      <c r="AM166" s="161">
        <v>0</v>
      </c>
      <c r="AN166" s="161">
        <v>0</v>
      </c>
      <c r="AO166" s="161">
        <v>0</v>
      </c>
      <c r="AP166" s="161">
        <v>0</v>
      </c>
      <c r="AQ166" s="161">
        <v>0</v>
      </c>
      <c r="AR166" s="161">
        <v>0</v>
      </c>
      <c r="AS166" s="161">
        <v>0</v>
      </c>
      <c r="AT166" s="161">
        <v>0</v>
      </c>
      <c r="AU166" s="161">
        <v>0</v>
      </c>
      <c r="AV166" s="161">
        <v>0</v>
      </c>
      <c r="AW166" s="161">
        <v>0</v>
      </c>
      <c r="AX166" s="161">
        <v>0</v>
      </c>
      <c r="AY166" s="161">
        <v>0</v>
      </c>
      <c r="AZ166" s="161">
        <v>0</v>
      </c>
      <c r="BA166" s="161">
        <v>0</v>
      </c>
      <c r="BB166" s="161">
        <v>0</v>
      </c>
      <c r="BC166" s="161">
        <v>0</v>
      </c>
      <c r="BD166" s="161">
        <v>0</v>
      </c>
      <c r="BE166" s="161">
        <v>0</v>
      </c>
      <c r="BF166" s="161">
        <v>0</v>
      </c>
      <c r="BG166" s="161">
        <v>0</v>
      </c>
      <c r="BH166" s="161">
        <v>0</v>
      </c>
      <c r="BI166" s="161">
        <v>0</v>
      </c>
      <c r="BJ166" s="161">
        <v>0</v>
      </c>
      <c r="BK166" s="161">
        <v>0</v>
      </c>
      <c r="BL166" s="161">
        <v>0</v>
      </c>
      <c r="BM166" s="161">
        <v>0</v>
      </c>
      <c r="BN166" s="161">
        <v>0</v>
      </c>
      <c r="BO166" s="161">
        <v>0</v>
      </c>
      <c r="BP166" s="161">
        <v>0</v>
      </c>
      <c r="BQ166" s="161">
        <v>0</v>
      </c>
      <c r="BR166" s="161">
        <v>0</v>
      </c>
      <c r="BS166" s="161">
        <v>0</v>
      </c>
      <c r="BT166" s="161">
        <v>0</v>
      </c>
      <c r="BU166" s="161">
        <v>0</v>
      </c>
      <c r="BV166" s="161">
        <v>0</v>
      </c>
      <c r="BW166" s="161">
        <v>0</v>
      </c>
      <c r="BX166" s="161">
        <v>0</v>
      </c>
      <c r="BY166" s="161">
        <v>0</v>
      </c>
      <c r="BZ166" s="161">
        <v>0</v>
      </c>
      <c r="CA166" s="166">
        <v>0</v>
      </c>
      <c r="CB166" s="166">
        <v>0</v>
      </c>
      <c r="CC166" s="166">
        <v>0</v>
      </c>
      <c r="CD166" s="166">
        <v>0</v>
      </c>
      <c r="CE166" s="166">
        <v>0</v>
      </c>
      <c r="CF166" s="166">
        <v>0</v>
      </c>
      <c r="CG166" s="166">
        <v>0</v>
      </c>
      <c r="CH166" s="166">
        <v>0</v>
      </c>
      <c r="CI166" s="166">
        <v>0</v>
      </c>
      <c r="CJ166" s="166">
        <v>0</v>
      </c>
      <c r="CK166" s="166">
        <v>0</v>
      </c>
      <c r="CL166" s="166">
        <v>0</v>
      </c>
      <c r="CM166" s="166">
        <v>0</v>
      </c>
      <c r="CN166" s="166">
        <v>0</v>
      </c>
      <c r="CO166" s="166">
        <v>0</v>
      </c>
      <c r="CP166" s="166">
        <v>0</v>
      </c>
      <c r="CQ166" s="166">
        <v>0</v>
      </c>
      <c r="CR166" s="166">
        <v>0</v>
      </c>
      <c r="CS166" s="166">
        <v>0</v>
      </c>
      <c r="CT166" s="161">
        <v>0</v>
      </c>
      <c r="CU166" s="161">
        <v>0</v>
      </c>
      <c r="CV166" s="161">
        <v>0</v>
      </c>
      <c r="CW166" s="161">
        <v>0</v>
      </c>
      <c r="CX166" s="161">
        <v>0</v>
      </c>
      <c r="CY166" s="161">
        <v>0</v>
      </c>
      <c r="CZ166" s="161">
        <v>0</v>
      </c>
      <c r="DA166" s="161">
        <v>0</v>
      </c>
      <c r="DB166" s="161">
        <v>0</v>
      </c>
      <c r="DC166" s="161">
        <v>0</v>
      </c>
      <c r="DD166" s="161">
        <v>0</v>
      </c>
      <c r="DE166" s="161">
        <v>0</v>
      </c>
      <c r="DF166" s="161">
        <v>0</v>
      </c>
      <c r="DG166" s="161">
        <v>0</v>
      </c>
      <c r="DH166" s="161">
        <v>0</v>
      </c>
      <c r="DI166" s="161">
        <v>0</v>
      </c>
      <c r="DJ166" s="161">
        <v>0</v>
      </c>
      <c r="DK166" s="161">
        <v>0</v>
      </c>
      <c r="DL166" s="161">
        <v>0</v>
      </c>
      <c r="DM166" s="161">
        <v>0</v>
      </c>
      <c r="DN166" s="161">
        <v>0</v>
      </c>
      <c r="DO166" s="161">
        <v>0</v>
      </c>
      <c r="DP166" s="161">
        <v>0</v>
      </c>
      <c r="DQ166" s="161">
        <v>0</v>
      </c>
      <c r="DR166" s="161">
        <v>0</v>
      </c>
      <c r="DS166" s="161">
        <v>0</v>
      </c>
      <c r="DT166" s="161">
        <v>0</v>
      </c>
      <c r="DU166" s="161">
        <v>0</v>
      </c>
      <c r="DV166" s="161">
        <v>0</v>
      </c>
      <c r="DW166" s="161">
        <v>0</v>
      </c>
      <c r="DX166" s="161">
        <v>0</v>
      </c>
      <c r="DY166" s="161">
        <v>0</v>
      </c>
      <c r="DZ166" s="161">
        <v>0</v>
      </c>
      <c r="EA166" s="161">
        <v>0</v>
      </c>
      <c r="EB166" s="161">
        <v>0</v>
      </c>
      <c r="EC166" s="161">
        <v>0</v>
      </c>
      <c r="ED166" s="161">
        <v>0</v>
      </c>
      <c r="EE166" s="161">
        <v>0</v>
      </c>
      <c r="EF166" s="161">
        <v>0</v>
      </c>
      <c r="EG166" s="186">
        <v>0</v>
      </c>
      <c r="EH166" s="161">
        <v>0</v>
      </c>
      <c r="EI166" s="161">
        <v>0</v>
      </c>
      <c r="EJ166" s="165">
        <v>145</v>
      </c>
      <c r="EK166" s="165">
        <v>0</v>
      </c>
      <c r="EL166" s="165">
        <v>109</v>
      </c>
      <c r="EM166" s="165">
        <v>36</v>
      </c>
      <c r="EN166" s="165">
        <v>145</v>
      </c>
      <c r="EO166" s="165">
        <v>0</v>
      </c>
      <c r="EP166" s="165">
        <v>0</v>
      </c>
      <c r="EQ166" s="165">
        <v>0</v>
      </c>
      <c r="ER166" s="165">
        <v>0</v>
      </c>
      <c r="ES166" s="165">
        <v>0</v>
      </c>
      <c r="ET166" s="165">
        <v>0</v>
      </c>
      <c r="EU166" s="166">
        <v>0</v>
      </c>
      <c r="EV166" s="166">
        <v>0</v>
      </c>
      <c r="EW166" s="166">
        <v>0</v>
      </c>
      <c r="EX166" s="166">
        <v>0</v>
      </c>
      <c r="EY166" s="166">
        <v>0</v>
      </c>
      <c r="EZ166" s="166">
        <v>0</v>
      </c>
      <c r="FA166" s="166">
        <v>0</v>
      </c>
      <c r="FB166" s="166">
        <v>0</v>
      </c>
      <c r="FC166" s="166">
        <v>0</v>
      </c>
      <c r="FD166" s="166">
        <v>0</v>
      </c>
      <c r="FE166" s="166">
        <v>0</v>
      </c>
      <c r="FF166" s="166">
        <v>0</v>
      </c>
      <c r="FG166" s="166">
        <v>0</v>
      </c>
      <c r="FH166" s="166">
        <v>0</v>
      </c>
      <c r="FI166" s="166">
        <v>0</v>
      </c>
      <c r="FJ166" s="166">
        <v>0</v>
      </c>
      <c r="FK166" s="166">
        <v>0</v>
      </c>
      <c r="FL166" s="166">
        <v>0</v>
      </c>
      <c r="FM166" s="166">
        <v>0</v>
      </c>
      <c r="FN166" s="166">
        <v>0</v>
      </c>
      <c r="FO166" s="166">
        <v>0</v>
      </c>
      <c r="FP166" s="166">
        <v>0</v>
      </c>
      <c r="FQ166" s="166">
        <v>0</v>
      </c>
      <c r="FR166" s="166">
        <v>0</v>
      </c>
      <c r="FS166" s="166">
        <v>0</v>
      </c>
      <c r="FT166" s="166">
        <v>0</v>
      </c>
      <c r="FU166" s="166">
        <v>0</v>
      </c>
      <c r="FV166" s="166">
        <v>0</v>
      </c>
      <c r="FW166" s="166">
        <v>0</v>
      </c>
      <c r="FX166" s="166">
        <v>0</v>
      </c>
      <c r="FY166" s="166">
        <v>0</v>
      </c>
      <c r="FZ166" s="165">
        <v>0</v>
      </c>
      <c r="GA166" s="165">
        <v>0</v>
      </c>
      <c r="GB166" s="165">
        <v>0</v>
      </c>
      <c r="GC166" s="165">
        <v>0</v>
      </c>
      <c r="GD166" s="165">
        <v>0</v>
      </c>
      <c r="GE166" s="165">
        <v>0</v>
      </c>
      <c r="GF166" s="165">
        <v>0</v>
      </c>
      <c r="GG166" s="165">
        <v>0</v>
      </c>
      <c r="GH166" s="165">
        <v>0</v>
      </c>
      <c r="GI166" s="165">
        <v>8</v>
      </c>
      <c r="GJ166" s="165">
        <v>10</v>
      </c>
      <c r="GK166" s="165">
        <v>11</v>
      </c>
      <c r="GL166" s="165">
        <v>15</v>
      </c>
      <c r="GM166" s="165">
        <v>26</v>
      </c>
      <c r="GN166" s="165">
        <v>37</v>
      </c>
      <c r="GO166" s="165">
        <v>0</v>
      </c>
      <c r="GP166" s="165">
        <v>18</v>
      </c>
      <c r="GQ166" s="165">
        <v>89</v>
      </c>
      <c r="GR166" s="165">
        <v>18</v>
      </c>
      <c r="GS166" s="165">
        <v>107</v>
      </c>
      <c r="GT166" s="165">
        <v>107</v>
      </c>
      <c r="GU166" s="165">
        <v>0</v>
      </c>
      <c r="GV166" s="165">
        <v>16</v>
      </c>
      <c r="GW166" s="165">
        <v>13</v>
      </c>
      <c r="GX166" s="165">
        <v>0</v>
      </c>
      <c r="GY166" s="165">
        <v>13</v>
      </c>
      <c r="GZ166" s="165">
        <v>107</v>
      </c>
      <c r="HA166" s="165">
        <v>13</v>
      </c>
      <c r="HB166" s="166">
        <v>4</v>
      </c>
      <c r="HC166" s="166">
        <v>4</v>
      </c>
      <c r="HD166" s="166">
        <v>0</v>
      </c>
      <c r="HE166" s="166">
        <v>3</v>
      </c>
      <c r="HF166" s="166"/>
      <c r="HG166" s="166">
        <v>4</v>
      </c>
      <c r="HH166" s="166">
        <v>0</v>
      </c>
      <c r="HI166" s="166">
        <v>20</v>
      </c>
      <c r="HJ166" s="166">
        <v>20</v>
      </c>
      <c r="HK166" s="166">
        <v>20</v>
      </c>
      <c r="HL166" s="166">
        <v>0</v>
      </c>
      <c r="HM166" s="166">
        <v>0</v>
      </c>
      <c r="HN166" s="166">
        <v>0</v>
      </c>
      <c r="HO166" s="166">
        <v>147</v>
      </c>
      <c r="HP166" s="166">
        <v>0</v>
      </c>
      <c r="HQ166" s="166">
        <v>47</v>
      </c>
      <c r="HR166" s="166">
        <v>100</v>
      </c>
      <c r="HS166" s="166">
        <v>147</v>
      </c>
      <c r="HT166" s="166">
        <f>FY26_FE_Data_April15[[#This Row],[Oct 1, 2026 (CDC) - K]]+FY26_FE_Data_April15[[#This Row],[Oct 1, 2026 (CDC) - Grades 1-6]]+FY26_FE_Data_April15[[#This Row],[Oct 1, 2026 (CDC) - Grades 7-8]]</f>
        <v>47</v>
      </c>
      <c r="HU166" s="166">
        <v>0</v>
      </c>
      <c r="HW166" s="170"/>
      <c r="HY166" s="170"/>
    </row>
    <row r="167" spans="1:233">
      <c r="A167" s="158" t="s">
        <v>887</v>
      </c>
      <c r="B167" s="158" t="s">
        <v>888</v>
      </c>
      <c r="C167" s="157" t="s">
        <v>889</v>
      </c>
      <c r="D167" s="157" t="s">
        <v>139</v>
      </c>
      <c r="E167" s="159"/>
      <c r="F167" s="159" t="s">
        <v>785</v>
      </c>
      <c r="G167" s="159" t="s">
        <v>784</v>
      </c>
      <c r="H167" s="161"/>
      <c r="I167" s="161"/>
      <c r="J167" s="161"/>
      <c r="K167" s="162"/>
      <c r="L167" s="162"/>
      <c r="M167" s="162"/>
      <c r="N167" s="162"/>
      <c r="O167" s="162"/>
      <c r="P167" s="162"/>
      <c r="Q167" s="162"/>
      <c r="R167" s="162"/>
      <c r="S167" s="187"/>
      <c r="T167" s="187"/>
      <c r="U167" s="187"/>
      <c r="V167" s="187"/>
      <c r="W167" s="187"/>
      <c r="X167" s="187"/>
      <c r="Y167" s="187"/>
      <c r="Z167" s="187"/>
      <c r="AA167" s="187"/>
      <c r="AB167" s="187"/>
      <c r="AC167" s="187"/>
      <c r="AD167" s="187"/>
      <c r="AE167" s="187"/>
      <c r="AF167" s="187"/>
      <c r="AG167" s="187"/>
      <c r="AH167" s="161"/>
      <c r="AI167" s="187"/>
      <c r="AJ167" s="187"/>
      <c r="AK167" s="187"/>
      <c r="AL167" s="161"/>
      <c r="AM167" s="161"/>
      <c r="AN167" s="161"/>
      <c r="AO167" s="161"/>
      <c r="AP167" s="183"/>
      <c r="AQ167" s="162"/>
      <c r="AR167" s="187"/>
      <c r="AS167" s="187"/>
      <c r="AT167" s="187"/>
      <c r="AU167" s="187"/>
      <c r="AV167" s="187"/>
      <c r="AW167" s="187"/>
      <c r="AX167" s="187"/>
      <c r="AY167" s="187"/>
      <c r="AZ167" s="187"/>
      <c r="BA167" s="187"/>
      <c r="BB167" s="187"/>
      <c r="BC167" s="187"/>
      <c r="BD167" s="187"/>
      <c r="BE167" s="187"/>
      <c r="BF167" s="187"/>
      <c r="BG167" s="187"/>
      <c r="BH167" s="187"/>
      <c r="BI167" s="187"/>
      <c r="BJ167" s="187"/>
      <c r="BK167" s="187"/>
      <c r="BL167" s="187"/>
      <c r="BM167" s="187"/>
      <c r="BN167" s="162"/>
      <c r="BO167" s="162"/>
      <c r="BP167" s="162"/>
      <c r="BQ167" s="163"/>
      <c r="BR167" s="164"/>
      <c r="BS167" s="164"/>
      <c r="BT167" s="164"/>
      <c r="BU167" s="164"/>
      <c r="BV167" s="165"/>
      <c r="BW167" s="165"/>
      <c r="BX167" s="166"/>
      <c r="BY167" s="166"/>
      <c r="BZ167" s="166"/>
      <c r="CA167" s="166"/>
      <c r="CB167" s="166"/>
      <c r="CC167" s="166"/>
      <c r="CD167" s="166"/>
      <c r="CE167" s="166"/>
      <c r="CF167" s="166"/>
      <c r="CG167" s="166"/>
      <c r="CH167" s="166"/>
      <c r="CI167" s="166"/>
      <c r="CJ167" s="166"/>
      <c r="CK167" s="166"/>
      <c r="CL167" s="166"/>
      <c r="CM167" s="166"/>
      <c r="CN167" s="166"/>
      <c r="CO167" s="166"/>
      <c r="CP167" s="166"/>
      <c r="CQ167" s="166"/>
      <c r="CR167" s="166"/>
      <c r="CS167" s="166"/>
      <c r="CT167" s="166"/>
      <c r="CU167" s="166"/>
      <c r="CV167" s="166"/>
      <c r="CW167" s="161"/>
      <c r="CX167" s="166"/>
      <c r="CY167" s="166"/>
      <c r="CZ167" s="165"/>
      <c r="DA167" s="165"/>
      <c r="DB167" s="165"/>
      <c r="DC167" s="165"/>
      <c r="DD167" s="165"/>
      <c r="DE167" s="165"/>
      <c r="DF167" s="165"/>
      <c r="DG167" s="165"/>
      <c r="DH167" s="165"/>
      <c r="DI167" s="165"/>
      <c r="DJ167" s="165"/>
      <c r="DK167" s="165"/>
      <c r="DL167" s="165"/>
      <c r="DM167" s="165"/>
      <c r="DN167" s="165"/>
      <c r="DO167" s="165"/>
      <c r="DP167" s="165"/>
      <c r="DQ167" s="165"/>
      <c r="DR167" s="165"/>
      <c r="DS167" s="165"/>
      <c r="DT167" s="165"/>
      <c r="DU167" s="165"/>
      <c r="DV167" s="165"/>
      <c r="DW167" s="165"/>
      <c r="DX167" s="165"/>
      <c r="DY167" s="162"/>
      <c r="DZ167" s="165"/>
      <c r="EA167" s="166"/>
      <c r="EB167" s="166"/>
      <c r="EC167" s="166"/>
      <c r="ED167" s="166"/>
      <c r="EE167" s="166"/>
      <c r="EF167" s="166"/>
      <c r="EG167" s="167"/>
      <c r="EH167" s="165"/>
      <c r="EI167" s="165"/>
      <c r="EJ167" s="165"/>
      <c r="EK167" s="165"/>
      <c r="EL167" s="165"/>
      <c r="EM167" s="166"/>
      <c r="EN167" s="165"/>
      <c r="EO167" s="165"/>
      <c r="EP167" s="165"/>
      <c r="EQ167" s="165"/>
      <c r="ER167" s="165"/>
      <c r="ES167" s="165"/>
      <c r="ET167" s="165"/>
      <c r="EU167" s="166"/>
      <c r="EV167" s="166"/>
      <c r="EW167" s="166"/>
      <c r="EX167" s="166"/>
      <c r="EY167" s="166"/>
      <c r="EZ167" s="166"/>
      <c r="FA167" s="166"/>
      <c r="FB167" s="166"/>
      <c r="FC167" s="166"/>
      <c r="FD167" s="166"/>
      <c r="FE167" s="166"/>
      <c r="FF167" s="166"/>
      <c r="FG167" s="166"/>
      <c r="FH167" s="166"/>
      <c r="FI167" s="166"/>
      <c r="FJ167" s="166"/>
      <c r="FK167" s="166"/>
      <c r="FL167" s="166"/>
      <c r="FM167" s="166"/>
      <c r="FN167" s="166"/>
      <c r="FO167" s="166"/>
      <c r="FP167" s="166"/>
      <c r="FQ167" s="166"/>
      <c r="FR167" s="166"/>
      <c r="FS167" s="166"/>
      <c r="FT167" s="166"/>
      <c r="FU167" s="166"/>
      <c r="FV167" s="166"/>
      <c r="FW167" s="166"/>
      <c r="FX167" s="166"/>
      <c r="FY167" s="166"/>
      <c r="FZ167" s="165"/>
      <c r="GA167" s="165"/>
      <c r="GB167" s="165"/>
      <c r="GC167" s="165"/>
      <c r="GD167" s="165"/>
      <c r="GE167" s="165"/>
      <c r="GF167" s="165"/>
      <c r="GG167" s="165"/>
      <c r="GH167" s="165"/>
      <c r="GI167" s="165"/>
      <c r="GJ167" s="165"/>
      <c r="GK167" s="165"/>
      <c r="GL167" s="165"/>
      <c r="GM167" s="165"/>
      <c r="GN167" s="165"/>
      <c r="GO167" s="165"/>
      <c r="GP167" s="165"/>
      <c r="GQ167" s="165"/>
      <c r="GR167" s="165"/>
      <c r="GS167" s="165"/>
      <c r="GT167" s="165"/>
      <c r="GU167" s="165"/>
      <c r="GV167" s="165"/>
      <c r="GW167" s="165"/>
      <c r="GX167" s="165"/>
      <c r="GY167" s="165"/>
      <c r="GZ167" s="165"/>
      <c r="HA167" s="165"/>
      <c r="HB167" s="166"/>
      <c r="HC167" s="166"/>
      <c r="HD167" s="166"/>
      <c r="HE167" s="166"/>
      <c r="HF167" s="166"/>
      <c r="HG167" s="165"/>
      <c r="HH167" s="166"/>
      <c r="HI167" s="166"/>
      <c r="HJ167" s="166"/>
      <c r="HK167" s="166"/>
      <c r="HL167" s="166"/>
      <c r="HM167" s="166">
        <v>0</v>
      </c>
      <c r="HN167" s="175">
        <v>35</v>
      </c>
      <c r="HO167" s="175">
        <f>SUM(FY26_FE_Data_April15[[#This Row],[Oct 1, 2026 (CDC) - Grades 1-6]:[Oct 1, 2026 (CDC) - Grades 9-12]])</f>
        <v>365</v>
      </c>
      <c r="HP167" s="175">
        <v>211</v>
      </c>
      <c r="HQ167" s="175">
        <v>74</v>
      </c>
      <c r="HR167" s="175">
        <v>80</v>
      </c>
      <c r="HS167" s="175">
        <f>FY26_FE_Data_April15[[#This Row],[Oct 1, 2026 (CDC) - Grades 1-12]]+FY26_FE_Data_April15[[#This Row],[Oct 1, 2026 (CDC) - K]]</f>
        <v>400</v>
      </c>
      <c r="HT167" s="175">
        <f>FY26_FE_Data_April15[[#This Row],[Oct 1, 2026 (CDC) - K]]+FY26_FE_Data_April15[[#This Row],[Oct 1, 2026 (CDC) - Grades 1-6]]+FY26_FE_Data_April15[[#This Row],[Oct 1, 2026 (CDC) - Grades 7-8]]</f>
        <v>320</v>
      </c>
      <c r="HU167" s="166">
        <v>0</v>
      </c>
      <c r="HW167" s="170"/>
      <c r="HY167" s="170"/>
    </row>
    <row r="168" spans="1:233">
      <c r="A168" s="158" t="s">
        <v>890</v>
      </c>
      <c r="B168" s="158" t="s">
        <v>891</v>
      </c>
      <c r="C168" s="157" t="s">
        <v>892</v>
      </c>
      <c r="D168" s="157" t="s">
        <v>139</v>
      </c>
      <c r="F168" s="159" t="s">
        <v>785</v>
      </c>
      <c r="G168" s="157" t="s">
        <v>784</v>
      </c>
      <c r="HM168" s="170">
        <v>0</v>
      </c>
      <c r="HN168" s="166">
        <v>0</v>
      </c>
      <c r="HO168" s="166">
        <v>99</v>
      </c>
      <c r="HP168" s="166">
        <v>0</v>
      </c>
      <c r="HQ168" s="166">
        <v>0</v>
      </c>
      <c r="HR168" s="166">
        <v>99</v>
      </c>
      <c r="HS168" s="166">
        <v>99</v>
      </c>
      <c r="HT168" s="166">
        <f>FY26_FE_Data_April15[[#This Row],[Oct 1, 2026 (CDC) - K]]+FY26_FE_Data_April15[[#This Row],[Oct 1, 2026 (CDC) - Grades 1-6]]+FY26_FE_Data_April15[[#This Row],[Oct 1, 2026 (CDC) - Grades 7-8]]</f>
        <v>0</v>
      </c>
      <c r="HU168" s="166">
        <v>0</v>
      </c>
      <c r="HW168" s="170"/>
      <c r="HY168" s="170"/>
    </row>
    <row r="169" spans="1:233">
      <c r="H169" s="170">
        <f>SUBTOTAL(109,FY26_FE_Data_April15[FY22ADM - SPED Resource])</f>
        <v>70443.305555555562</v>
      </c>
      <c r="I169" s="170">
        <f>SUBTOTAL(109,FY26_FE_Data_April15[FY22ADM - SPED Self-Contained])</f>
        <v>11523.833333333336</v>
      </c>
      <c r="J169" s="170">
        <f>SUBTOTAL(109,FY26_FE_Data_April15[FY22 ADM - Total SPED])</f>
        <v>81967.138888888818</v>
      </c>
      <c r="K169" s="184">
        <f>SUBTOTAL(109,FY26_FE_Data_April15[Oct 1, 2022 - K])</f>
        <v>46694</v>
      </c>
      <c r="L169" s="184">
        <f>SUBTOTAL(109,FY26_FE_Data_April15[Oct 1, 2022 - Grades 1-6])</f>
        <v>307225</v>
      </c>
      <c r="M169" s="184">
        <f>SUBTOTAL(109,FY26_FE_Data_April15[Oct 1, 2022 - Grades 7-8])</f>
        <v>107167</v>
      </c>
      <c r="N169" s="184">
        <f>SUBTOTAL(109,FY26_FE_Data_April15[Oct 1, 2022 - Grades 9-12])</f>
        <v>214760</v>
      </c>
      <c r="O169" s="184">
        <f>SUBTOTAL(109,FY26_FE_Data_April15[Oct 1, 2022 - Grades K-12])</f>
        <v>675846</v>
      </c>
      <c r="P169" s="184">
        <f>SUBTOTAL(109,FY26_FE_Data_April15[Oct 1, 2022 - Grades 1-12])</f>
        <v>629152</v>
      </c>
      <c r="Q169" s="184">
        <f>SUBTOTAL(109,FY26_FE_Data_April15[Oct 1, 2022 - Grades K-8])</f>
        <v>461086</v>
      </c>
      <c r="R169" s="184">
        <f>SUBTOTAL(109,FY26_FE_Data_April15[Oct 1, 2022 - Self-Contained])</f>
        <v>11546</v>
      </c>
      <c r="S169" s="170">
        <f>SUBTOTAL(109,FY26_FE_Data_April15[FY23 ADM - K])</f>
        <v>45562.083333333343</v>
      </c>
      <c r="T169" s="170">
        <f>SUBTOTAL(109,FY26_FE_Data_April15[FY23 ADM - Grade 1])</f>
        <v>49280.738888888904</v>
      </c>
      <c r="U169" s="170">
        <f>SUBTOTAL(109,FY26_FE_Data_April15[FY23 ADM - Grade 2])</f>
        <v>49305.505555555566</v>
      </c>
      <c r="V169" s="170">
        <f>SUBTOTAL(109,FY26_FE_Data_April15[FY23 ADM - Grade 3])</f>
        <v>49947.555555555562</v>
      </c>
      <c r="W169" s="170">
        <f>SUBTOTAL(109,FY26_FE_Data_April15[FY23 ADM - Grade 4])</f>
        <v>50906.922222222216</v>
      </c>
      <c r="X169" s="170">
        <f>SUBTOTAL(109,FY26_FE_Data_April15[FY23 ADM - Grade 5])</f>
        <v>49875.600000000013</v>
      </c>
      <c r="Y169" s="170">
        <f>SUBTOTAL(109,FY26_FE_Data_April15[FY23 ADM - Grade 6])</f>
        <v>51171.5222222222</v>
      </c>
      <c r="Z169" s="170">
        <f>SUBTOTAL(109,FY26_FE_Data_April15[FY23 ADM - Grade 7])</f>
        <v>51711.422222222216</v>
      </c>
      <c r="AA169" s="170">
        <f>SUBTOTAL(109,FY26_FE_Data_April15[FY23 ADM - Grade 8])</f>
        <v>52771.127777777765</v>
      </c>
      <c r="AB169" s="170">
        <f>SUBTOTAL(109,FY26_FE_Data_April15[FY23 ADM - Grade 9])</f>
        <v>54150.766666666692</v>
      </c>
      <c r="AC169" s="170">
        <f>SUBTOTAL(109,FY26_FE_Data_April15[FY23 ADM - Grade 10])</f>
        <v>53915.55000000001</v>
      </c>
      <c r="AD169" s="170">
        <f>SUBTOTAL(109,FY26_FE_Data_April15[FY23 ADM - Grade 11])</f>
        <v>51068.699999999961</v>
      </c>
      <c r="AE169" s="170">
        <f>SUBTOTAL(109,FY26_FE_Data_April15[FY23 ADM - Grade 12])</f>
        <v>44624.683333333327</v>
      </c>
      <c r="AF169" s="170">
        <f>SUBTOTAL(109,FY26_FE_Data_April15[FY23 ADM - Grades 1-6])</f>
        <v>300487.8444444444</v>
      </c>
      <c r="AG169" s="170">
        <f>SUBTOTAL(109,FY26_FE_Data_April15[FY23 ADM - Grades 7-8])</f>
        <v>104482.54999999997</v>
      </c>
      <c r="AH169" s="170">
        <f>SUBTOTAL(109,FY26_FE_Data_April15[FY23 ADM - Grades 9-12])</f>
        <v>203759.7</v>
      </c>
      <c r="AI169" s="170">
        <f>SUBTOTAL(109,FY26_FE_Data_April15[FY23 ADM - Grades K-8])</f>
        <v>450532.47777777776</v>
      </c>
      <c r="AJ169" s="170">
        <f>SUBTOTAL(109,FY26_FE_Data_April15[FY23 ADM - Grades 1-12])</f>
        <v>608730.09444444452</v>
      </c>
      <c r="AK169" s="170">
        <f>SUBTOTAL(109,FY26_FE_Data_April15[FY23 ADM - Grades K-12])</f>
        <v>654292.17777777789</v>
      </c>
      <c r="AL169" s="170">
        <f>SUBTOTAL(109,FY26_FE_Data_April15[FY23 ADM - SPED Resource])</f>
        <v>73194.161111111025</v>
      </c>
      <c r="AM169" s="170">
        <f>SUBTOTAL(109,FY26_FE_Data_April15[FY23 ADM - SPED Self-Contained])</f>
        <v>11778.861111111113</v>
      </c>
      <c r="AN169" s="170">
        <f>SUBTOTAL(109,FY26_FE_Data_April15[FY23 ADM - Total SPED])</f>
        <v>84973.022222222222</v>
      </c>
      <c r="AO169" s="170">
        <f>SUBTOTAL(109,FY26_FE_Data_April15[FY23 ADM - K-12 + SC])</f>
        <v>666071.03888888843</v>
      </c>
      <c r="AP169" s="170">
        <f>SUBTOTAL(109,FY26_FE_Data_April15[Oct. 1, 2023 - K])</f>
        <v>45256</v>
      </c>
      <c r="AQ169" s="170">
        <f>SUBTOTAL(109,FY26_FE_Data_April15[Oct. 1, 2023 - Grade 1])</f>
        <v>48197</v>
      </c>
      <c r="AR169" s="170">
        <f>SUBTOTAL(109,FY26_FE_Data_April15[Oct. 1, 2023 - Grade 2])</f>
        <v>50926</v>
      </c>
      <c r="AS169" s="170">
        <f>SUBTOTAL(109,FY26_FE_Data_April15[Oct. 1, 2023 - Grade 3])</f>
        <v>51017</v>
      </c>
      <c r="AT169" s="170">
        <f>SUBTOTAL(109,FY26_FE_Data_April15[Oct. 1, 2023 - Grade 4])</f>
        <v>51429</v>
      </c>
      <c r="AU169" s="170">
        <f>SUBTOTAL(109,FY26_FE_Data_April15[Oct. 1, 2023 - Grade 5])</f>
        <v>52597</v>
      </c>
      <c r="AV169" s="170">
        <f>SUBTOTAL(109,FY26_FE_Data_April15[Oct. 1, 2023 - Grade 6])</f>
        <v>51476</v>
      </c>
      <c r="AW169" s="170">
        <f>SUBTOTAL(109,FY26_FE_Data_April15[Oct. 1, 2023 - Grade 7])</f>
        <v>52969</v>
      </c>
      <c r="AX169" s="170">
        <f>SUBTOTAL(109,FY26_FE_Data_April15[Oct. 1, 2023 - Grade 8])</f>
        <v>53344</v>
      </c>
      <c r="AY169" s="170">
        <f>SUBTOTAL(109,FY26_FE_Data_April15[Oct. 1, 2023 - Grade 9])</f>
        <v>54553</v>
      </c>
      <c r="AZ169" s="170">
        <f>SUBTOTAL(109,FY26_FE_Data_April15[Oct. 1, 2023 - Grade 10])</f>
        <v>55713</v>
      </c>
      <c r="BA169" s="170">
        <f>SUBTOTAL(109,FY26_FE_Data_April15[Oct. 1, 2023 - Grade 11])</f>
        <v>54586</v>
      </c>
      <c r="BB169" s="170">
        <f>SUBTOTAL(109,FY26_FE_Data_April15[Oct. 1, 2023 - Grade 12])</f>
        <v>51906</v>
      </c>
      <c r="BC169" s="170">
        <f>SUBTOTAL(109,FY26_FE_Data_April15[Oct. 1, 2023 - Grades 1-6])</f>
        <v>305642</v>
      </c>
      <c r="BD169" s="170">
        <f>SUBTOTAL(109,FY26_FE_Data_April15[Oct. 1, 2023 - Grades 7-8])</f>
        <v>106313</v>
      </c>
      <c r="BE169" s="170">
        <f>SUBTOTAL(109,FY26_FE_Data_April15[Oct. 1, 2023 - Grades 9-12])</f>
        <v>216758</v>
      </c>
      <c r="BF169" s="170">
        <f>SUBTOTAL(109,FY26_FE_Data_April15[Oct. 1, 2023 - Grades K-8])</f>
        <v>457211</v>
      </c>
      <c r="BG169" s="170">
        <f>SUBTOTAL(109,FY26_FE_Data_April15[Oct. 1, 2023 - Grades 1-12])</f>
        <v>628713</v>
      </c>
      <c r="BH169" s="170">
        <f>SUBTOTAL(109,FY26_FE_Data_April15[Oct. 1, 2023 - Grades K-12])</f>
        <v>673969</v>
      </c>
      <c r="BI169" s="170">
        <f>SUBTOTAL(109,FY26_FE_Data_April15[Oct. 1, 2023 - FDK Counts])</f>
        <v>34911</v>
      </c>
      <c r="BJ169" s="170">
        <f>SUBTOTAL(109,FY26_FE_Data_April15[Oct. 1, 2023 - HDK Counts])</f>
        <v>10345</v>
      </c>
      <c r="BK169" s="170">
        <f>SUBTOTAL(109,FY26_FE_Data_April15[Oct. 1, 2023 - Foreign Exchange])</f>
        <v>353</v>
      </c>
      <c r="BL169" s="170">
        <f>SUBTOTAL(109,FY26_FE_Data_April15[Oct. 1, 2023 - Econ. Disadv.])</f>
        <v>205313</v>
      </c>
      <c r="BM169" s="170">
        <f>SUBTOTAL(109,FY26_FE_Data_April15[Oct. 1, 2023 - SPED Resource])</f>
        <v>74559</v>
      </c>
      <c r="BN169" s="170">
        <f>SUBTOTAL(109,FY26_FE_Data_April15[Oct. 1, 2023 - SPED Self-Contained])</f>
        <v>11980</v>
      </c>
      <c r="BO169" s="170">
        <f>SUBTOTAL(109,FY26_FE_Data_April15[Oct. 1, 2023 - Total SPED])</f>
        <v>86539</v>
      </c>
      <c r="BP169" s="170">
        <f>SUBTOTAL(109,FY26_FE_Data_April15[Oct. 1, 2023 - LEP])</f>
        <v>59187</v>
      </c>
      <c r="BQ169" s="170">
        <f>SUBTOTAL(109,FY26_FE_Data_April15[Prostaff Ratios])</f>
        <v>11.974604401574979</v>
      </c>
      <c r="BR169" s="170">
        <f>SUBTOTAL(109,FY26_FE_Data_April15[ESA - All - FY24])</f>
        <v>38689.897320000033</v>
      </c>
      <c r="BS169" s="170">
        <f>SUBTOTAL(109,FY26_FE_Data_April15[ESA - Educators Only - FY24])</f>
        <v>36872.321320000039</v>
      </c>
      <c r="BT169" s="170">
        <f>SUBTOTAL(109,FY26_FE_Data_April15[TSM FTE - FY24])</f>
        <v>34418.054980000008</v>
      </c>
      <c r="BU169" s="170">
        <f>SUBTOTAL(109,FY26_FE_Data_April15[Educ. Prof. Hrs. FTE - FY24])</f>
        <v>38333.278880000064</v>
      </c>
      <c r="BV169" s="184">
        <f>SUBTOTAL(109,FY26_FE_Data_April15[Oct 1 2020 Counts - Online Students &gt;180 Days ])</f>
        <v>12086</v>
      </c>
      <c r="BW169" s="184">
        <f>SUBTOTAL(109,FY26_FE_Data_April15[Oct 1 2023 Counts - Online Students &gt;180 Days in FY2023/Still Online on Oct 1])</f>
        <v>11414</v>
      </c>
      <c r="BX169" s="170">
        <f>SUBTOTAL(109,FY26_FE_Data_April15[FY23 ADM - Online Students &gt;180 Days ])</f>
        <v>24125.066656999992</v>
      </c>
      <c r="BY169" s="170">
        <f>SUBTOTAL(109,FY26_FE_Data_April15[FY24 ADM - Half Day K])</f>
        <v>9926.1721820000039</v>
      </c>
      <c r="BZ169" s="170">
        <f>SUBTOTAL(109,FY26_FE_Data_April15[FY24 ADM - Full Day K])</f>
        <v>34400.916613000001</v>
      </c>
      <c r="CA169" s="170">
        <f>SUBTOTAL(109,FY26_FE_Data_April15[FY24 ADM - Total K])</f>
        <v>44327.088888888895</v>
      </c>
      <c r="CB169" s="170">
        <f>SUBTOTAL(109,FY26_FE_Data_April15[FY24 ADM - Grade 1])</f>
        <v>47115.005555555552</v>
      </c>
      <c r="CC169" s="170">
        <f>SUBTOTAL(109,FY26_FE_Data_April15[FY24 ADM - Grade 2])</f>
        <v>49805.616666666698</v>
      </c>
      <c r="CD169" s="170">
        <f>SUBTOTAL(109,FY26_FE_Data_April15[FY24 ADM - Grade 3])</f>
        <v>49998.388888888854</v>
      </c>
      <c r="CE169" s="170">
        <f>SUBTOTAL(109,FY26_FE_Data_April15[FY24 ADM - Grade 4])</f>
        <v>50416.877777777736</v>
      </c>
      <c r="CF169" s="170">
        <f>SUBTOTAL(109,FY26_FE_Data_April15[FY24 ADM - Grade 5])</f>
        <v>51505.688888888915</v>
      </c>
      <c r="CG169" s="170">
        <f>SUBTOTAL(109,FY26_FE_Data_April15[FY24 ADM - Grade 6])</f>
        <v>50315.50555555553</v>
      </c>
      <c r="CH169" s="170">
        <f>SUBTOTAL(109,FY26_FE_Data_April15[FY24 ADM - Grade 7])</f>
        <v>51719.677777777768</v>
      </c>
      <c r="CI169" s="170">
        <f>SUBTOTAL(109,FY26_FE_Data_April15[FY24 ADM - Grade 8])</f>
        <v>52012.31666666668</v>
      </c>
      <c r="CJ169" s="170">
        <f>SUBTOTAL(109,FY26_FE_Data_April15[FY24 ADM - Grade 9])</f>
        <v>53221.205555555571</v>
      </c>
      <c r="CK169" s="170">
        <f>SUBTOTAL(109,FY26_FE_Data_April15[FY24 ADM - Grade 10])</f>
        <v>54158.816666666644</v>
      </c>
      <c r="CL169" s="170">
        <f>SUBTOTAL(109,FY26_FE_Data_April15[FY24 ADM - Grade 11])</f>
        <v>52711</v>
      </c>
      <c r="CM169" s="170">
        <f>SUBTOTAL(109,FY26_FE_Data_April15[FY24 ADM - Grade 12])</f>
        <v>45652.011111111096</v>
      </c>
      <c r="CN169" s="170">
        <f>SUBTOTAL(109,FY26_FE_Data_April15[FY24 ADM - Grades 1-6])</f>
        <v>299157.08333333331</v>
      </c>
      <c r="CO169" s="170">
        <f>SUBTOTAL(109,FY26_FE_Data_April15[FY24 ADM - Grades 7-8])</f>
        <v>103731.9944444445</v>
      </c>
      <c r="CP169" s="170">
        <f>SUBTOTAL(109,FY26_FE_Data_April15[FY24 ADM - Grades 9-12])</f>
        <v>205743.0333333333</v>
      </c>
      <c r="CQ169" s="170">
        <f>SUBTOTAL(109,FY26_FE_Data_April15[FY24 ADM - Grades K-8])</f>
        <v>447216.16666666657</v>
      </c>
      <c r="CR169" s="170">
        <f>SUBTOTAL(109,FY26_FE_Data_April15[FY24 ADM - Grades 1-12])</f>
        <v>608632.11111111101</v>
      </c>
      <c r="CS169" s="170">
        <f>SUBTOTAL(109,FY26_FE_Data_April15[FY24 ADM - Grades K-12])</f>
        <v>652959.19999999995</v>
      </c>
      <c r="CT169" s="170">
        <f>SUBTOTAL(109,FY26_FE_Data_April15[FY24 ADM - SPED Resource])</f>
        <v>75516.211111111159</v>
      </c>
      <c r="CU169" s="170">
        <f>SUBTOTAL(109,FY26_FE_Data_April15[FY24 ADM - SPED Self-Contained])</f>
        <v>11870.383333333339</v>
      </c>
      <c r="CV169" s="170">
        <f>SUBTOTAL(109,FY26_FE_Data_April15[FY24 ADM - Total SPED])</f>
        <v>87386.594444444461</v>
      </c>
      <c r="CW169" s="170">
        <f>SUBTOTAL(109,FY26_FE_Data_April15[FY24 ADM - K-12 + SC])</f>
        <v>664829.58333333326</v>
      </c>
      <c r="CX169" s="170">
        <f>SUBTOTAL(109,FY26_FE_Data_April15[FY24 ADM - Online Students - Online All 180 Days])</f>
        <v>22410.277769999997</v>
      </c>
      <c r="CY169" s="170">
        <f>SUBTOTAL(109,FY26_FE_Data_April15[Oct. 1, 2024 - FDK])</f>
        <v>40636</v>
      </c>
      <c r="CZ169" s="184">
        <f>SUBTOTAL(109,FY26_FE_Data_April15[Oct. 1, 2024 - HDK])</f>
        <v>4149</v>
      </c>
      <c r="DA169" s="184">
        <f>SUBTOTAL(109,FY26_FE_Data_April15[Oct. 1, 2024 - Total K])</f>
        <v>44785</v>
      </c>
      <c r="DB169" s="184">
        <f>SUBTOTAL(109,FY26_FE_Data_April15[Oct. 1, 2024 - Grade 1])</f>
        <v>46343</v>
      </c>
      <c r="DC169" s="184">
        <f>SUBTOTAL(109,FY26_FE_Data_April15[Oct. 1, 2024 - Grade 2])</f>
        <v>48541</v>
      </c>
      <c r="DD169" s="184">
        <f>SUBTOTAL(109,FY26_FE_Data_April15[Oct. 1, 2024 - Grade 3])</f>
        <v>51125</v>
      </c>
      <c r="DE169" s="184">
        <f>SUBTOTAL(109,FY26_FE_Data_April15[Oct. 1, 2024 - Grade 4])</f>
        <v>51313</v>
      </c>
      <c r="DF169" s="184">
        <f>SUBTOTAL(109,FY26_FE_Data_April15[Oct. 1, 2024 - Grade 5])</f>
        <v>51708</v>
      </c>
      <c r="DG169" s="184">
        <f>SUBTOTAL(109,FY26_FE_Data_April15[Oct. 1, 2024 - Grade 6])</f>
        <v>52807</v>
      </c>
      <c r="DH169" s="184">
        <f>SUBTOTAL(109,FY26_FE_Data_April15[Oct. 1, 2024 - Grade 7])</f>
        <v>51934</v>
      </c>
      <c r="DI169" s="184">
        <f>SUBTOTAL(109,FY26_FE_Data_April15[Oct. 1, 2024 - Grade 8])</f>
        <v>53134</v>
      </c>
      <c r="DJ169" s="184">
        <f>SUBTOTAL(109,FY26_FE_Data_April15[Oct. 1, 2024 - Grade 9])</f>
        <v>53823</v>
      </c>
      <c r="DK169" s="184">
        <f>SUBTOTAL(109,FY26_FE_Data_April15[Oct. 1, 2024 - Grade 10])</f>
        <v>54783</v>
      </c>
      <c r="DL169" s="184">
        <f>SUBTOTAL(109,FY26_FE_Data_April15[Oct. 1, 2024 - Grade 11])</f>
        <v>54980</v>
      </c>
      <c r="DM169" s="184">
        <f>SUBTOTAL(109,FY26_FE_Data_April15[Oct. 1, 2024 - Grade 12])</f>
        <v>53541</v>
      </c>
      <c r="DN169" s="184">
        <f>SUBTOTAL(109,FY26_FE_Data_April15[Oct. 1, 2024 - Grades 1-6])</f>
        <v>301837</v>
      </c>
      <c r="DO169" s="184">
        <f>SUBTOTAL(109,FY26_FE_Data_April15[Oct. 1, 2024 - Grades 7-8])</f>
        <v>105068</v>
      </c>
      <c r="DP169" s="184">
        <f>SUBTOTAL(109,FY26_FE_Data_April15[Oct. 1, 2024 - Grades 9-12])</f>
        <v>217127</v>
      </c>
      <c r="DQ169" s="184">
        <f>SUBTOTAL(109,FY26_FE_Data_April15[Oct. 1, 2024 - Grades K-8])</f>
        <v>451690</v>
      </c>
      <c r="DR169" s="184">
        <f>SUBTOTAL(109,FY26_FE_Data_April15[Oct. 1, 2024 - Grades 1-12])</f>
        <v>624032</v>
      </c>
      <c r="DS169" s="184">
        <f>SUBTOTAL(109,FY26_FE_Data_April15[Oct. 1, 2024 - Grades K-12])</f>
        <v>668817</v>
      </c>
      <c r="DT169" s="184">
        <f>SUBTOTAL(109,FY26_FE_Data_April15[Oct. 1, 2024 - Foreign Exchange])</f>
        <v>349</v>
      </c>
      <c r="DU169" s="184">
        <f>SUBTOTAL(109,FY26_FE_Data_April15[Oct. 1, 2024 - Econ. Disadv.])</f>
        <v>193684</v>
      </c>
      <c r="DV169" s="184">
        <f>SUBTOTAL(109,FY26_FE_Data_April15[Oct. 1, 2024 - SPED Resource])</f>
        <v>75917</v>
      </c>
      <c r="DW169" s="184">
        <f>SUBTOTAL(109,FY26_FE_Data_April15[Oct. 1, 2024 - SPED Self-Contained])</f>
        <v>11761</v>
      </c>
      <c r="DX169" s="184">
        <f>SUBTOTAL(109,FY26_FE_Data_April15[Oct. 1, 2024 - Total SPED])</f>
        <v>87678</v>
      </c>
      <c r="DY169" s="184">
        <f>SUBTOTAL(109,FY26_FE_Data_April15[Oct. 1, 2024 - K12+SC])</f>
        <v>680578</v>
      </c>
      <c r="DZ169" s="184">
        <f>SUBTOTAL(109,FY26_FE_Data_April15[Oct. 1, 2024 - LEP])</f>
        <v>61518</v>
      </c>
      <c r="EA169" s="170">
        <f>SUBTOTAL(109,FY26_FE_Data_April15[ESA - All - FY25])</f>
        <v>39070.555149999956</v>
      </c>
      <c r="EB169" s="170">
        <f>SUBTOTAL(109,FY26_FE_Data_April15[ESA - Educators Only - FY25])</f>
        <v>37171.944149999967</v>
      </c>
      <c r="EC169" s="170">
        <f>SUBTOTAL(109,FY26_FE_Data_April15[TSM FTE - Elementary - FY25])</f>
        <v>16531.866999999995</v>
      </c>
      <c r="ED169" s="170">
        <f>SUBTOTAL(109,FY26_FE_Data_April15[TSM FTE - Secondary - FY25])</f>
        <v>14525.604999999998</v>
      </c>
      <c r="EE169" s="170">
        <f>SUBTOTAL(109,FY26_FE_Data_April15[TSM FTE - Reg. Pre-K - FY25])</f>
        <v>52.273000000000003</v>
      </c>
      <c r="EF169" s="170">
        <f>SUBTOTAL(109,FY26_FE_Data_April15[Educ. Prof. Hrs. FTE - FY25])</f>
        <v>39809.62334999998</v>
      </c>
      <c r="EG169" s="170">
        <f>SUBTOTAL(109,FY26_FE_Data_April15[ProStaff Ratios - FY24 YE])</f>
        <v>11.914819697134307</v>
      </c>
      <c r="EH169" s="184">
        <f>SUBTOTAL(109,FY26_FE_Data_April15[Oct 1 2024 Counts - Online Students &gt;=180 Days in FY2024/Still Online on Oct 1])</f>
        <v>0</v>
      </c>
      <c r="EI169" s="184">
        <f>SUBTOTAL(109,FY26_FE_Data_April15[Oct 1, 2025 (CDC) - K])</f>
        <v>44154</v>
      </c>
      <c r="EJ169" s="184">
        <f>SUBTOTAL(109,FY26_FE_Data_April15[Oct 1, 2025 (CDC) - Grades 1-12])</f>
        <v>616721</v>
      </c>
      <c r="EK169" s="184">
        <f>SUBTOTAL(109,FY26_FE_Data_April15[Oct 1, 2025 (CDC) - Grades 1-6])</f>
        <v>46070</v>
      </c>
      <c r="EL169" s="184">
        <f>SUBTOTAL(109,FY26_FE_Data_April15[Oct 1, 2025 (CDC) - Grades 7-8])</f>
        <v>12360</v>
      </c>
      <c r="EM169" s="184">
        <f>SUBTOTAL(109,FY26_FE_Data_April15[Oct 1, 2025 (CDC) - Grades 9-12])</f>
        <v>17342</v>
      </c>
      <c r="EN169" s="184">
        <f>SUBTOTAL(109,FY26_FE_Data_April15[Oct 1, 2025 (CDC) - Grades K-12])</f>
        <v>660875</v>
      </c>
      <c r="EO169" s="184">
        <f>SUBTOTAL(109,FY26_FE_Data_April15[December 1, 2024 - SPED Pre-K 3-5 Count])</f>
        <v>7627</v>
      </c>
      <c r="EP169" s="184">
        <f>SUBTOTAL(109,FY26_FE_Data_April15[December 1, 2024 - SPED K-12])</f>
        <v>88281</v>
      </c>
      <c r="EQ169" s="184">
        <f>SUBTOTAL(109,FY26_FE_Data_April15[December 1, 2024 - SPED PreK-12 - All Ages])</f>
        <v>95909</v>
      </c>
      <c r="ER169" s="184">
        <f>SUBTOTAL(109,FY26_FE_Data_April15[December 1, 2024 - SPED Resource])</f>
        <v>76172</v>
      </c>
      <c r="ES169" s="184">
        <f>SUBTOTAL(109,FY26_FE_Data_April15[December 1, 2024 - SPED Self-Contained])</f>
        <v>12109</v>
      </c>
      <c r="ET169" s="184">
        <f>SUBTOTAL(109,FY26_FE_Data_April15[FY24 ESY Count])</f>
        <v>4722</v>
      </c>
      <c r="EU169" s="170">
        <f>SUBTOTAL(109,FY26_FE_Data_April15[FY24 Classified FTE: Instructional Paraprofessionals])</f>
        <v>12523.861999999997</v>
      </c>
      <c r="EV169" s="170">
        <f>SUBTOTAL(109,FY26_FE_Data_April15[FY24 Classified FTE: Library Paraprofessionals])</f>
        <v>645.17200000000014</v>
      </c>
      <c r="EW169" s="170">
        <f>SUBTOTAL(109,FY26_FE_Data_April15[FY24 Classified FTE: School Support])</f>
        <v>2779.0749999999985</v>
      </c>
      <c r="EX169" s="170">
        <f>SUBTOTAL(109,FY26_FE_Data_April15[FY24 Classified FTE: Student Support])</f>
        <v>1875.8640000000007</v>
      </c>
      <c r="EY169" s="170">
        <f>SUBTOTAL(109,FY26_FE_Data_April15[FY24 Classified FTE: Other Support Staff])</f>
        <v>9225.7010000000046</v>
      </c>
      <c r="EZ169" s="170">
        <f>SUBTOTAL(109,FY26_FE_Data_April15[FY24 Classified FTE: All Qualifying FTE])</f>
        <v>27049.674000000006</v>
      </c>
      <c r="FA169" s="188">
        <f>SUBTOTAL(109,FY26_FE_Data_April15[FY25 ADM - Half Day K])</f>
        <v>3507.1055555555563</v>
      </c>
      <c r="FB169" s="188">
        <f>SUBTOTAL(109,FY26_FE_Data_April15[FY25 ADM - Full Day K])</f>
        <v>40151.461111111101</v>
      </c>
      <c r="FC169" s="188">
        <f>SUBTOTAL(109,FY26_FE_Data_April15[FY25 ADM - Total K])</f>
        <v>43658.56666666668</v>
      </c>
      <c r="FD169" s="188">
        <f>SUBTOTAL(109,FY26_FE_Data_April15[FY25 ADM - Grade 1])</f>
        <v>45005.294444444451</v>
      </c>
      <c r="FE169" s="188">
        <f>SUBTOTAL(109,FY26_FE_Data_April15[FY25 ADM - Grade 2])</f>
        <v>47234.461111111072</v>
      </c>
      <c r="FF169" s="188">
        <f>SUBTOTAL(109,FY26_FE_Data_April15[FY25 ADM - Grade 3])</f>
        <v>49885.06666666668</v>
      </c>
      <c r="FG169" s="188">
        <f>SUBTOTAL(109,FY26_FE_Data_April15[FY25 ADM - Grade 4])</f>
        <v>50047.394444444442</v>
      </c>
      <c r="FH169" s="188">
        <f>SUBTOTAL(109,FY26_FE_Data_April15[FY25 ADM - Grade 5])</f>
        <v>50475.466666666682</v>
      </c>
      <c r="FI169" s="188">
        <f>SUBTOTAL(109,FY26_FE_Data_April15[FY25 ADM - Grade 6])</f>
        <v>51480.233333333308</v>
      </c>
      <c r="FJ169" s="188">
        <f>SUBTOTAL(109,FY26_FE_Data_April15[FY25 ADM - Grade 7])</f>
        <v>50499.411111111156</v>
      </c>
      <c r="FK169" s="188">
        <f>SUBTOTAL(109,FY26_FE_Data_April15[FY25 ADM - Grade 8])</f>
        <v>51718.444444444423</v>
      </c>
      <c r="FL169" s="188">
        <f>SUBTOTAL(109,FY26_FE_Data_April15[FY25 ADM - Grade 9])</f>
        <v>52373.433333333312</v>
      </c>
      <c r="FM169" s="188">
        <f>SUBTOTAL(109,FY26_FE_Data_April15[FY25 ADM - Grade 10])</f>
        <v>53075.172222222231</v>
      </c>
      <c r="FN169" s="188">
        <f>SUBTOTAL(109,FY26_FE_Data_April15[FY25 ADM - Grade 11])</f>
        <v>52982.066666666695</v>
      </c>
      <c r="FO169" s="188">
        <f>SUBTOTAL(109,FY26_FE_Data_April15[FY25 ADM - Grade 12])</f>
        <v>47035.505555555581</v>
      </c>
      <c r="FP169" s="188">
        <f>SUBTOTAL(109,FY26_FE_Data_April15[FY25 ADM - Grades 1-6])</f>
        <v>294127.91666666669</v>
      </c>
      <c r="FQ169" s="188">
        <f>SUBTOTAL(109,FY26_FE_Data_April15[FY25 ADM - Grades 7-8])</f>
        <v>102217.85555555552</v>
      </c>
      <c r="FR169" s="188">
        <f>SUBTOTAL(109,FY26_FE_Data_April15[FY25 ADM - Grades 9-12])</f>
        <v>205466.17777777775</v>
      </c>
      <c r="FS169" s="170">
        <f>SUBTOTAL(109,FY26_FE_Data_April15[FY25 ADM - Grades K-8])</f>
        <v>440004.33888888871</v>
      </c>
      <c r="FT169" s="170">
        <f>SUBTOTAL(109,FY26_FE_Data_April15[FY25 ADM - Grades 1-12])</f>
        <v>601811.95000000042</v>
      </c>
      <c r="FU169" s="170">
        <f>SUBTOTAL(109,FY26_FE_Data_April15[FY25 ADM - Grades K-12])</f>
        <v>645470.5166666666</v>
      </c>
      <c r="FV169" s="170">
        <f>SUBTOTAL(109,FY26_FE_Data_April15[FY25 ADM - SPED Resource])</f>
        <v>76300.349999999977</v>
      </c>
      <c r="FW169" s="170">
        <f>SUBTOTAL(109,FY26_FE_Data_April15[FY25 ADM - SPED Self-Contained])</f>
        <v>12108.933333333329</v>
      </c>
      <c r="FX169" s="170">
        <f>SUBTOTAL(109,FY26_FE_Data_April15[FY25 ADM - Total SPED])</f>
        <v>88409.283333333355</v>
      </c>
      <c r="FY169" s="170">
        <f>SUBTOTAL(109,FY26_FE_Data_April15[FY25 ADM - K-12 + SC])</f>
        <v>657579.45000000019</v>
      </c>
      <c r="FZ169" s="170">
        <f>SUBTOTAL(109,FY26_FE_Data_April15[Oct. 1, 2025 - HDK])</f>
        <v>3494</v>
      </c>
      <c r="GA169" s="170">
        <f>SUBTOTAL(109,FY26_FE_Data_April15[Oct. 1, 2025 - FDK])</f>
        <v>40057</v>
      </c>
      <c r="GB169" s="170">
        <f>SUBTOTAL(109,FY26_FE_Data_April15[Oct. 1, 2025 - Total K])</f>
        <v>43551</v>
      </c>
      <c r="GC169" s="170">
        <f>SUBTOTAL(109,FY26_FE_Data_April15[Oct. 1, 2025 - Grade 1])</f>
        <v>45272</v>
      </c>
      <c r="GD169" s="170">
        <f>SUBTOTAL(109,FY26_FE_Data_April15[Oct. 1, 2025 - Grade 2])</f>
        <v>46283</v>
      </c>
      <c r="GE169" s="170">
        <f>SUBTOTAL(109,FY26_FE_Data_April15[Oct. 1, 2025 - Grade 3])</f>
        <v>48569</v>
      </c>
      <c r="GF169" s="170">
        <f>SUBTOTAL(109,FY26_FE_Data_April15[Oct. 1, 2025 - Grade 4])</f>
        <v>50975</v>
      </c>
      <c r="GG169" s="170">
        <f>SUBTOTAL(109,FY26_FE_Data_April15[Oct. 1, 2025 - Grade 5])</f>
        <v>51178</v>
      </c>
      <c r="GH169" s="170">
        <f>SUBTOTAL(109,FY26_FE_Data_April15[Oct. 1, 2025 - Grade 6])</f>
        <v>51610</v>
      </c>
      <c r="GI169" s="170">
        <f>SUBTOTAL(109,FY26_FE_Data_April15[Oct. 1, 2025 - Grade 7])</f>
        <v>52946</v>
      </c>
      <c r="GJ169" s="170">
        <f>SUBTOTAL(109,FY26_FE_Data_April15[Oct. 1, 2025 - Grade 8])</f>
        <v>51882</v>
      </c>
      <c r="GK169" s="170">
        <f>SUBTOTAL(109,FY26_FE_Data_April15[Oct. 1, 2025 - Grade 9])</f>
        <v>53497</v>
      </c>
      <c r="GL169" s="170">
        <f>SUBTOTAL(109,FY26_FE_Data_April15[Oct. 1, 2025 - Grade 10])</f>
        <v>53755</v>
      </c>
      <c r="GM169" s="170">
        <f>SUBTOTAL(109,FY26_FE_Data_April15[Oct. 1, 2025 - Grade 11])</f>
        <v>53876</v>
      </c>
      <c r="GN169" s="170">
        <f>SUBTOTAL(109,FY26_FE_Data_April15[Oct. 1, 2025 - Grade 12])</f>
        <v>54111</v>
      </c>
      <c r="GO169" s="170">
        <f>SUBTOTAL(109,FY26_FE_Data_April15[Oct. 1, 2025 - Grades 1-6])</f>
        <v>293887</v>
      </c>
      <c r="GP169" s="170">
        <f>SUBTOTAL(109,FY26_FE_Data_April15[Oct. 1, 2025 - Grades 7-8])</f>
        <v>104828</v>
      </c>
      <c r="GQ169" s="170">
        <f>SUBTOTAL(109,FY26_FE_Data_April15[Oct. 1, 2025 - Grades 9-12])</f>
        <v>215239</v>
      </c>
      <c r="GR169" s="170">
        <f>SUBTOTAL(109,FY26_FE_Data_April15[Oct. 1, 2025 - Grades K-8])</f>
        <v>442266</v>
      </c>
      <c r="GS169" s="170">
        <f>SUBTOTAL(109,FY26_FE_Data_April15[Oct. 1, 2025 - Grades 1-12])</f>
        <v>613954</v>
      </c>
      <c r="GT169" s="170">
        <f>SUBTOTAL(109,FY26_FE_Data_April15[Oct. 1, 2025 - Grades K-12])</f>
        <v>657505</v>
      </c>
      <c r="GU169" s="170">
        <f>SUBTOTAL(109,FY26_FE_Data_April15[Oct. 1, 2025 - Foreign Exchange])</f>
        <v>355</v>
      </c>
      <c r="GV169" s="170">
        <f>SUBTOTAL(109,FY26_FE_Data_April15[Oct. 1, 2025 - Econ. Disadv.])</f>
        <v>186495</v>
      </c>
      <c r="GW169" s="170">
        <f>SUBTOTAL(109,FY26_FE_Data_April15[Oct. 1, 2025 - SPED Resource])</f>
        <v>76807</v>
      </c>
      <c r="GX169" s="170">
        <f>SUBTOTAL(109,FY26_FE_Data_April15[Oct. 1, 2025 - SPED Self-Contained])</f>
        <v>12452</v>
      </c>
      <c r="GY169" s="170">
        <f>SUBTOTAL(109,FY26_FE_Data_April15[Oct. 1, 2025 - Total SPED])</f>
        <v>89259</v>
      </c>
      <c r="GZ169" s="170">
        <f>SUBTOTAL(109,FY26_FE_Data_April15[Oct. 1, 2025 - K-12 +SC])</f>
        <v>669957</v>
      </c>
      <c r="HA169" s="170">
        <f>SUBTOTAL(109,FY26_FE_Data_April15[Oct. 1, 2025 - LEP])</f>
        <v>58457</v>
      </c>
      <c r="HB169" s="170">
        <f>SUBTOTAL(109,FY26_FE_Data_April15[ESA - All - FY26])</f>
        <v>39154.478859999981</v>
      </c>
      <c r="HC169" s="170">
        <f>SUBTOTAL(109,FY26_FE_Data_April15[ESA - Educators Only - FY26])</f>
        <v>37187.921359999964</v>
      </c>
      <c r="HD169" s="170">
        <f>SUBTOTAL(109,FY26_FE_Data_April15[TSM FTE - Elementary - FY26])</f>
        <v>16469.653999999999</v>
      </c>
      <c r="HE169" s="170">
        <f>SUBTOTAL(109,FY26_FE_Data_April15[TSM FTE - Secondary - FY26])</f>
        <v>14497.619999999992</v>
      </c>
      <c r="HF169" s="170">
        <f>SUBTOTAL(109,FY26_FE_Data_April15[TSM FTE - Reg. Pre-K - FY26])</f>
        <v>0</v>
      </c>
      <c r="HG169" s="170">
        <f>SUBTOTAL(109,FY26_FE_Data_April15[Educ. Prof. Hrs. FTE - FY26])</f>
        <v>39610.91035999998</v>
      </c>
      <c r="HH169" s="170">
        <f>SUBTOTAL(109,FY26_FE_Data_April15[December 1, 2025 - SPED Pre-K 3-5 Total])</f>
        <v>6986</v>
      </c>
      <c r="HI169" s="170">
        <f>SUBTOTAL(109,FY26_FE_Data_April15[December 1, 2025 - SPED K-12])</f>
        <v>89524</v>
      </c>
      <c r="HJ169" s="170">
        <f>SUBTOTAL(109,FY26_FE_Data_April15[December 1, 2025 - SPED PreK-12 - All Ages])</f>
        <v>96510</v>
      </c>
      <c r="HK169" s="170">
        <f>SUBTOTAL(109,FY26_FE_Data_April15[December 1, 2025 - SPED Resource])</f>
        <v>76957</v>
      </c>
      <c r="HL169" s="170">
        <f>SUBTOTAL(109,FY26_FE_Data_April15[December 1, 2025 - SPED Self-Contained])</f>
        <v>12567</v>
      </c>
      <c r="HM169" s="170"/>
      <c r="HN169" s="170">
        <f>SUBTOTAL(109,FY26_FE_Data_April15[Oct 1, 2026 (CDC) - K])</f>
        <v>42704</v>
      </c>
      <c r="HO169" s="170">
        <f>SUBTOTAL(109,FY26_FE_Data_April15[Oct 1, 2026 (CDC) - Grades 1-12])</f>
        <v>601150</v>
      </c>
      <c r="HP169" s="170">
        <f>SUBTOTAL(109,FY26_FE_Data_April15[Oct 1, 2026 (CDC) - Grades 1-6])</f>
        <v>48174</v>
      </c>
      <c r="HQ169" s="170">
        <f>SUBTOTAL(109,FY26_FE_Data_April15[Oct 1, 2026 (CDC) - Grades 7-8])</f>
        <v>13547</v>
      </c>
      <c r="HR169" s="170">
        <f>SUBTOTAL(109,FY26_FE_Data_April15[Oct 1, 2026 (CDC) - Grades 9-12])</f>
        <v>18485</v>
      </c>
      <c r="HS169" s="170">
        <f>SUBTOTAL(109,FY26_FE_Data_April15[Oct 1, 2026 (CDC) - Grades K-12])</f>
        <v>643854</v>
      </c>
      <c r="HT169" s="170">
        <f>SUBTOTAL(109,FY26_FE_Data_April15[Oct 1, 2026 (CDC) - Grades K-8])</f>
        <v>104425</v>
      </c>
      <c r="HU169" s="170">
        <f>SUBTOTAL(109,FY26_FE_Data_April15[FY25 ADM - Online Students - Online All 180 Days])</f>
        <v>22195.883327</v>
      </c>
    </row>
    <row r="170" spans="1:233">
      <c r="BV170" s="184"/>
      <c r="BW170" s="184"/>
      <c r="CZ170" s="184"/>
      <c r="DA170" s="184"/>
      <c r="DB170" s="184"/>
      <c r="DC170" s="184"/>
      <c r="DD170" s="184"/>
      <c r="DE170" s="184"/>
      <c r="DF170" s="184"/>
      <c r="DG170" s="184"/>
      <c r="DH170" s="184"/>
      <c r="DI170" s="184"/>
      <c r="DJ170" s="184"/>
      <c r="DK170" s="184"/>
      <c r="DL170" s="184"/>
      <c r="DM170" s="184"/>
      <c r="DN170" s="184"/>
      <c r="DO170" s="184"/>
      <c r="DP170" s="184"/>
      <c r="DQ170" s="184"/>
      <c r="DR170" s="184"/>
      <c r="DS170" s="184"/>
      <c r="DT170" s="184"/>
      <c r="DU170" s="184"/>
      <c r="DV170" s="184"/>
      <c r="DW170" s="184"/>
      <c r="DX170" s="184"/>
      <c r="DY170" s="184"/>
      <c r="DZ170" s="184"/>
      <c r="EA170" s="170"/>
      <c r="EB170" s="170"/>
      <c r="EC170" s="170"/>
      <c r="ED170" s="170"/>
      <c r="EE170" s="170"/>
      <c r="EF170" s="170"/>
      <c r="EG170" s="170"/>
    </row>
    <row r="171" spans="1:233" s="182" customFormat="1">
      <c r="A171" s="189"/>
      <c r="B171" s="189"/>
      <c r="D171" s="182" t="s">
        <v>139</v>
      </c>
      <c r="H171" s="182">
        <f>SUMIF(FY26_FE_Data_April15[[Type]:[Type]],$D$171,FY26_FE_Data_April15[FY22ADM - SPED Resource])</f>
        <v>10179.966666666665</v>
      </c>
      <c r="I171" s="182">
        <f>SUMIF(FY26_FE_Data_April15[[Type]:[Type]],$D$171,FY26_FE_Data_April15[FY22ADM - SPED Self-Contained])</f>
        <v>1051.0055555555555</v>
      </c>
      <c r="J171" s="182">
        <f>SUMIF(FY26_FE_Data_April15[[Type]:[Type]],$D$171,FY26_FE_Data_April15[FY22 ADM - Total SPED])</f>
        <v>11230.972222222224</v>
      </c>
      <c r="K171" s="182">
        <f>SUMIF(FY26_FE_Data_April15[[Type]:[Type]],$D$171,FY26_FE_Data_April15[Oct 1, 2022 - K])</f>
        <v>7348</v>
      </c>
      <c r="L171" s="182">
        <f>SUMIF(FY26_FE_Data_April15[[Type]:[Type]],$D$171,FY26_FE_Data_April15[Oct 1, 2022 - Grades 1-6])</f>
        <v>42630</v>
      </c>
      <c r="M171" s="182">
        <f>SUMIF(FY26_FE_Data_April15[[Type]:[Type]],$D$171,FY26_FE_Data_April15[Oct 1, 2022 - Grades 7-8])</f>
        <v>11856</v>
      </c>
      <c r="N171" s="182">
        <f>SUMIF(FY26_FE_Data_April15[[Type]:[Type]],$D$171,FY26_FE_Data_April15[Oct 1, 2022 - Grades 9-12])</f>
        <v>16927</v>
      </c>
      <c r="O171" s="182">
        <f>SUMIF(FY26_FE_Data_April15[[Type]:[Type]],$D$171,FY26_FE_Data_April15[Oct 1, 2022 - Grades K-12])</f>
        <v>78761</v>
      </c>
      <c r="P171" s="182">
        <f>SUMIF(FY26_FE_Data_April15[[Type]:[Type]],$D$171,FY26_FE_Data_April15[Oct 1, 2022 - Grades 1-12])</f>
        <v>71413</v>
      </c>
      <c r="Q171" s="182">
        <f>SUMIF(FY26_FE_Data_April15[[Type]:[Type]],$D$171,FY26_FE_Data_April15[Oct 1, 2022 - Grades K-8])</f>
        <v>61834</v>
      </c>
      <c r="R171" s="182">
        <f>SUMIF(FY26_FE_Data_April15[[Type]:[Type]],$D$171,FY26_FE_Data_April15[Oct 1, 2022 - Self-Contained])</f>
        <v>1037</v>
      </c>
      <c r="S171" s="182">
        <f>SUMIF(FY26_FE_Data_April15[[Type]:[Type]],$D$171,FY26_FE_Data_April15[FY23 ADM - K])</f>
        <v>7216.5388888888901</v>
      </c>
      <c r="T171" s="182">
        <f>SUMIF(FY26_FE_Data_April15[[Type]:[Type]],$D$171,FY26_FE_Data_April15[FY23 ADM - Grade 1])</f>
        <v>7116.5777777777785</v>
      </c>
      <c r="U171" s="182">
        <f>SUMIF(FY26_FE_Data_April15[[Type]:[Type]],$D$171,FY26_FE_Data_April15[FY23 ADM - Grade 2])</f>
        <v>7179.7444444444436</v>
      </c>
      <c r="V171" s="182">
        <f>SUMIF(FY26_FE_Data_April15[[Type]:[Type]],$D$171,FY26_FE_Data_April15[FY23 ADM - Grade 3])</f>
        <v>7023.0722222222248</v>
      </c>
      <c r="W171" s="182">
        <f>SUMIF(FY26_FE_Data_April15[[Type]:[Type]],$D$171,FY26_FE_Data_April15[FY23 ADM - Grade 4])</f>
        <v>6959.3444444444449</v>
      </c>
      <c r="X171" s="182">
        <f>SUMIF(FY26_FE_Data_April15[[Type]:[Type]],$D$171,FY26_FE_Data_April15[FY23 ADM - Grade 5])</f>
        <v>6620.1944444444407</v>
      </c>
      <c r="Y171" s="182">
        <f>SUMIF(FY26_FE_Data_April15[[Type]:[Type]],$D$171,FY26_FE_Data_April15[FY23 ADM - Grade 6])</f>
        <v>6729.7388888888881</v>
      </c>
      <c r="Z171" s="182">
        <f>SUMIF(FY26_FE_Data_April15[[Type]:[Type]],$D$171,FY26_FE_Data_April15[FY23 ADM - Grade 7])</f>
        <v>5894.5444444444456</v>
      </c>
      <c r="AA171" s="182">
        <f>SUMIF(FY26_FE_Data_April15[[Type]:[Type]],$D$171,FY26_FE_Data_April15[FY23 ADM - Grade 8])</f>
        <v>5708.1055555555567</v>
      </c>
      <c r="AB171" s="182">
        <f>SUMIF(FY26_FE_Data_April15[[Type]:[Type]],$D$171,FY26_FE_Data_April15[FY23 ADM - Grade 9])</f>
        <v>4899.477777777779</v>
      </c>
      <c r="AC171" s="182">
        <f>SUMIF(FY26_FE_Data_April15[[Type]:[Type]],$D$171,FY26_FE_Data_April15[FY23 ADM - Grade 10])</f>
        <v>4136.6166666666668</v>
      </c>
      <c r="AD171" s="182">
        <f>SUMIF(FY26_FE_Data_April15[[Type]:[Type]],$D$171,FY26_FE_Data_April15[FY23 ADM - Grade 11])</f>
        <v>3937.1277777777782</v>
      </c>
      <c r="AE171" s="182">
        <f>SUMIF(FY26_FE_Data_April15[[Type]:[Type]],$D$171,FY26_FE_Data_April15[FY23 ADM - Grade 12])</f>
        <v>3373.8500000000008</v>
      </c>
      <c r="AF171" s="182">
        <f>SUMIF(FY26_FE_Data_April15[[Type]:[Type]],$D$171,FY26_FE_Data_April15[FY23 ADM - Grades 1-6])</f>
        <v>41628.672222222216</v>
      </c>
      <c r="AG171" s="182">
        <f>SUMIF(FY26_FE_Data_April15[[Type]:[Type]],$D$171,FY26_FE_Data_April15[FY23 ADM - Grades 7-8])</f>
        <v>11602.649999999996</v>
      </c>
      <c r="AH171" s="182">
        <f>SUMIF(FY26_FE_Data_April15[[Type]:[Type]],$D$171,FY26_FE_Data_April15[FY23 ADM - Grades 9-12])</f>
        <v>16347.072222222219</v>
      </c>
      <c r="AI171" s="182">
        <f>SUMIF(FY26_FE_Data_April15[[Type]:[Type]],$D$171,FY26_FE_Data_April15[FY23 ADM - Grades K-8])</f>
        <v>60447.861111111102</v>
      </c>
      <c r="AJ171" s="182">
        <f>SUMIF(FY26_FE_Data_April15[[Type]:[Type]],$D$171,FY26_FE_Data_April15[FY23 ADM - Grades 1-12])</f>
        <v>69578.39444444445</v>
      </c>
      <c r="AK171" s="182">
        <f>SUMIF(FY26_FE_Data_April15[[Type]:[Type]],$D$171,FY26_FE_Data_April15[FY23 ADM - Grades K-12])</f>
        <v>76794.933333333378</v>
      </c>
      <c r="AL171" s="182">
        <f>SUMIF(FY26_FE_Data_April15[[Type]:[Type]],$D$171,FY26_FE_Data_April15[FY23 ADM - SPED Resource])</f>
        <v>10787.011111111109</v>
      </c>
      <c r="AM171" s="182">
        <f>SUMIF(FY26_FE_Data_April15[[Type]:[Type]],$D$171,FY26_FE_Data_April15[FY23 ADM - SPED Self-Contained])</f>
        <v>1023.2666666666665</v>
      </c>
      <c r="AN171" s="182">
        <f>SUMIF(FY26_FE_Data_April15[[Type]:[Type]],$D$171,FY26_FE_Data_April15[FY23 ADM - Total SPED])</f>
        <v>11810.27777777777</v>
      </c>
      <c r="AO171" s="182">
        <f>SUMIF(FY26_FE_Data_April15[[Type]:[Type]],$D$171,FY26_FE_Data_April15[FY23 ADM - K-12 + SC])</f>
        <v>77818.200000000012</v>
      </c>
      <c r="AP171" s="182">
        <f>SUMIF(FY26_FE_Data_April15[[Type]:[Type]],$D$171,FY26_FE_Data_April15[Oct. 1, 2023 - K])</f>
        <v>7360</v>
      </c>
      <c r="AQ171" s="182">
        <f>SUMIF(FY26_FE_Data_April15[[Type]:[Type]],$D$171,FY26_FE_Data_April15[Oct. 1, 2023 - Grade 1])</f>
        <v>7447</v>
      </c>
      <c r="AR171" s="182">
        <f>SUMIF(FY26_FE_Data_April15[[Type]:[Type]],$D$171,FY26_FE_Data_April15[Oct. 1, 2023 - Grade 2])</f>
        <v>7316</v>
      </c>
      <c r="AS171" s="182">
        <f>SUMIF(FY26_FE_Data_April15[[Type]:[Type]],$D$171,FY26_FE_Data_April15[Oct. 1, 2023 - Grade 3])</f>
        <v>7374</v>
      </c>
      <c r="AT171" s="182">
        <f>SUMIF(FY26_FE_Data_April15[[Type]:[Type]],$D$171,FY26_FE_Data_April15[Oct. 1, 2023 - Grade 4])</f>
        <v>7220</v>
      </c>
      <c r="AU171" s="182">
        <f>SUMIF(FY26_FE_Data_April15[[Type]:[Type]],$D$171,FY26_FE_Data_April15[Oct. 1, 2023 - Grade 5])</f>
        <v>7270</v>
      </c>
      <c r="AV171" s="182">
        <f>SUMIF(FY26_FE_Data_April15[[Type]:[Type]],$D$171,FY26_FE_Data_April15[Oct. 1, 2023 - Grade 6])</f>
        <v>6795</v>
      </c>
      <c r="AW171" s="182">
        <f>SUMIF(FY26_FE_Data_April15[[Type]:[Type]],$D$171,FY26_FE_Data_April15[Oct. 1, 2023 - Grade 7])</f>
        <v>6152</v>
      </c>
      <c r="AX171" s="182">
        <f>SUMIF(FY26_FE_Data_April15[[Type]:[Type]],$D$171,FY26_FE_Data_April15[Oct. 1, 2023 - Grade 8])</f>
        <v>5870</v>
      </c>
      <c r="AY171" s="182">
        <f>SUMIF(FY26_FE_Data_April15[[Type]:[Type]],$D$171,FY26_FE_Data_April15[Oct. 1, 2023 - Grade 9])</f>
        <v>4999</v>
      </c>
      <c r="AZ171" s="182">
        <f>SUMIF(FY26_FE_Data_April15[[Type]:[Type]],$D$171,FY26_FE_Data_April15[Oct. 1, 2023 - Grade 10])</f>
        <v>4278</v>
      </c>
      <c r="BA171" s="182">
        <f>SUMIF(FY26_FE_Data_April15[[Type]:[Type]],$D$171,FY26_FE_Data_April15[Oct. 1, 2023 - Grade 11])</f>
        <v>4047</v>
      </c>
      <c r="BB171" s="182">
        <f>SUMIF(FY26_FE_Data_April15[[Type]:[Type]],$D$171,FY26_FE_Data_April15[Oct. 1, 2023 - Grade 12])</f>
        <v>3695</v>
      </c>
      <c r="BC171" s="182">
        <f>SUMIF(FY26_FE_Data_April15[[Type]:[Type]],$D$171,FY26_FE_Data_April15[Oct. 1, 2023 - Grades 1-6])</f>
        <v>43422</v>
      </c>
      <c r="BD171" s="182">
        <f>SUMIF(FY26_FE_Data_April15[[Type]:[Type]],$D$171,FY26_FE_Data_April15[Oct. 1, 2023 - Grades 7-8])</f>
        <v>12022</v>
      </c>
      <c r="BE171" s="182">
        <f>SUMIF(FY26_FE_Data_April15[[Type]:[Type]],$D$171,FY26_FE_Data_April15[Oct. 1, 2023 - Grades 9-12])</f>
        <v>17019</v>
      </c>
      <c r="BF171" s="182">
        <f>SUMIF(FY26_FE_Data_April15[[Type]:[Type]],$D$171,FY26_FE_Data_April15[Oct. 1, 2023 - Grades K-8])</f>
        <v>62804</v>
      </c>
      <c r="BG171" s="182">
        <f>SUMIF(FY26_FE_Data_April15[[Type]:[Type]],$D$171,FY26_FE_Data_April15[Oct. 1, 2023 - Grades 1-12])</f>
        <v>72463</v>
      </c>
      <c r="BH171" s="182">
        <f>SUMIF(FY26_FE_Data_April15[[Type]:[Type]],$D$171,FY26_FE_Data_April15[Oct. 1, 2023 - Grades K-12])</f>
        <v>79823</v>
      </c>
      <c r="BI171" s="182">
        <f>SUMIF(FY26_FE_Data_April15[[Type]:[Type]],$D$171,FY26_FE_Data_April15[Oct. 1, 2023 - FDK Counts])</f>
        <v>5217</v>
      </c>
      <c r="BJ171" s="182">
        <f>SUMIF(FY26_FE_Data_April15[[Type]:[Type]],$D$171,FY26_FE_Data_April15[Oct. 1, 2023 - HDK Counts])</f>
        <v>2143</v>
      </c>
      <c r="BK171" s="182">
        <f>SUMIF(FY26_FE_Data_April15[[Type]:[Type]],$D$171,FY26_FE_Data_April15[Oct. 1, 2023 - Foreign Exchange])</f>
        <v>34</v>
      </c>
      <c r="BL171" s="182">
        <f>SUMIF(FY26_FE_Data_April15[[Type]:[Type]],$D$171,FY26_FE_Data_April15[Oct. 1, 2023 - Econ. Disadv.])</f>
        <v>23166</v>
      </c>
      <c r="BM171" s="182">
        <f>SUMIF(FY26_FE_Data_April15[[Type]:[Type]],$D$171,FY26_FE_Data_April15[Oct. 1, 2023 - SPED Resource])</f>
        <v>11026</v>
      </c>
      <c r="BN171" s="182">
        <f>SUMIF(FY26_FE_Data_April15[[Type]:[Type]],$D$171,FY26_FE_Data_April15[Oct. 1, 2023 - SPED Self-Contained])</f>
        <v>973</v>
      </c>
      <c r="BO171" s="182">
        <f>SUMIF(FY26_FE_Data_April15[[Type]:[Type]],$D$171,FY26_FE_Data_April15[Oct. 1, 2023 - Total SPED])</f>
        <v>11999</v>
      </c>
      <c r="BP171" s="182">
        <f>SUMIF(FY26_FE_Data_April15[[Type]:[Type]],$D$171,FY26_FE_Data_April15[Oct. 1, 2023 - LEP])</f>
        <v>7257</v>
      </c>
      <c r="BQ171" s="182">
        <f>SUMIF(FY26_FE_Data_April15[[Type]:[Type]],$D$171,FY26_FE_Data_April15[Prostaff Ratios])</f>
        <v>8.2306861305669514</v>
      </c>
      <c r="BR171" s="182">
        <f>SUMIF(FY26_FE_Data_April15[[Type]:[Type]],$D$171,FY26_FE_Data_April15[ESA - All - FY24])</f>
        <v>4921.9349999999995</v>
      </c>
      <c r="BS171" s="182">
        <f>SUMIF(FY26_FE_Data_April15[[Type]:[Type]],$D$171,FY26_FE_Data_April15[ESA - Educators Only - FY24])</f>
        <v>4689.0440000000008</v>
      </c>
      <c r="BT171" s="182">
        <f>SUMIF(FY26_FE_Data_April15[[Type]:[Type]],$D$171,FY26_FE_Data_April15[TSM FTE - FY24])</f>
        <v>4543.1615000000002</v>
      </c>
      <c r="BU171" s="182">
        <f>SUMIF(FY26_FE_Data_April15[[Type]:[Type]],$D$171,FY26_FE_Data_April15[Educ. Prof. Hrs. FTE - FY24])</f>
        <v>5015.1705000000002</v>
      </c>
      <c r="BV171" s="182">
        <f>SUMIF(FY26_FE_Data_April15[[Type]:[Type]],$D$171,FY26_FE_Data_April15[Oct 1 2020 Counts - Online Students &gt;180 Days ])</f>
        <v>4524</v>
      </c>
      <c r="BW171" s="182">
        <f>SUMIF(FY26_FE_Data_April15[[Type]:[Type]],$D$171,FY26_FE_Data_April15[Oct 1 2023 Counts - Online Students &gt;180 Days in FY2023/Still Online on Oct 1])</f>
        <v>2711</v>
      </c>
      <c r="BX171" s="182">
        <f>SUMIF(FY26_FE_Data_April15[[Type]:[Type]],$D$171,FY26_FE_Data_April15[FY23 ADM - Online Students &gt;180 Days ])</f>
        <v>3832.3333309999998</v>
      </c>
      <c r="BY171" s="182">
        <f>SUMIF(FY26_FE_Data_April15[[Type]:[Type]],$D$171,FY26_FE_Data_April15[FY24 ADM - Half Day K])</f>
        <v>1993.6944190000004</v>
      </c>
      <c r="BZ171" s="182">
        <f>SUMIF(FY26_FE_Data_April15[[Type]:[Type]],$D$171,FY26_FE_Data_April15[FY24 ADM - Full Day K])</f>
        <v>5219.9999669999997</v>
      </c>
      <c r="CA171" s="182">
        <f>SUMIF(FY26_FE_Data_April15[[Type]:[Type]],$D$171,FY26_FE_Data_April15[FY24 ADM - Total K])</f>
        <v>7213.6944444444443</v>
      </c>
      <c r="CB171" s="182">
        <f>SUMIF(FY26_FE_Data_April15[[Type]:[Type]],$D$171,FY26_FE_Data_April15[FY24 ADM - Grade 1])</f>
        <v>7298.3722222222214</v>
      </c>
      <c r="CC171" s="182">
        <f>SUMIF(FY26_FE_Data_April15[[Type]:[Type]],$D$171,FY26_FE_Data_April15[FY24 ADM - Grade 2])</f>
        <v>7148.3333333333321</v>
      </c>
      <c r="CD171" s="182">
        <f>SUMIF(FY26_FE_Data_April15[[Type]:[Type]],$D$171,FY26_FE_Data_April15[FY24 ADM - Grade 3])</f>
        <v>7209.3</v>
      </c>
      <c r="CE171" s="182">
        <f>SUMIF(FY26_FE_Data_April15[[Type]:[Type]],$D$171,FY26_FE_Data_April15[FY24 ADM - Grade 4])</f>
        <v>7069.8055555555575</v>
      </c>
      <c r="CF171" s="182">
        <f>SUMIF(FY26_FE_Data_April15[[Type]:[Type]],$D$171,FY26_FE_Data_April15[FY24 ADM - Grade 5])</f>
        <v>7107.3000000000011</v>
      </c>
      <c r="CG171" s="182">
        <f>SUMIF(FY26_FE_Data_April15[[Type]:[Type]],$D$171,FY26_FE_Data_April15[FY24 ADM - Grade 6])</f>
        <v>6648.8333333333312</v>
      </c>
      <c r="CH171" s="182">
        <f>SUMIF(FY26_FE_Data_April15[[Type]:[Type]],$D$171,FY26_FE_Data_April15[FY24 ADM - Grade 7])</f>
        <v>6043.5277777777783</v>
      </c>
      <c r="CI171" s="182">
        <f>SUMIF(FY26_FE_Data_April15[[Type]:[Type]],$D$171,FY26_FE_Data_April15[FY24 ADM - Grade 8])</f>
        <v>5739.3833333333341</v>
      </c>
      <c r="CJ171" s="182">
        <f>SUMIF(FY26_FE_Data_April15[[Type]:[Type]],$D$171,FY26_FE_Data_April15[FY24 ADM - Grade 9])</f>
        <v>4896.2166666666635</v>
      </c>
      <c r="CK171" s="182">
        <f>SUMIF(FY26_FE_Data_April15[[Type]:[Type]],$D$171,FY26_FE_Data_April15[FY24 ADM - Grade 10])</f>
        <v>4160.6277777777786</v>
      </c>
      <c r="CL171" s="182">
        <f>SUMIF(FY26_FE_Data_April15[[Type]:[Type]],$D$171,FY26_FE_Data_April15[FY24 ADM - Grade 11])</f>
        <v>3902.1944444444448</v>
      </c>
      <c r="CM171" s="182">
        <f>SUMIF(FY26_FE_Data_April15[[Type]:[Type]],$D$171,FY26_FE_Data_April15[FY24 ADM - Grade 12])</f>
        <v>3508.4888888888891</v>
      </c>
      <c r="CN171" s="182">
        <f>SUMIF(FY26_FE_Data_April15[[Type]:[Type]],$D$171,FY26_FE_Data_April15[FY24 ADM - Grades 1-6])</f>
        <v>42481.944444444438</v>
      </c>
      <c r="CO171" s="182">
        <f>SUMIF(FY26_FE_Data_April15[[Type]:[Type]],$D$171,FY26_FE_Data_April15[FY24 ADM - Grades 7-8])</f>
        <v>11782.911111111116</v>
      </c>
      <c r="CP171" s="182">
        <f>SUMIF(FY26_FE_Data_April15[[Type]:[Type]],$D$171,FY26_FE_Data_April15[FY24 ADM - Grades 9-12])</f>
        <v>16467.527777777777</v>
      </c>
      <c r="CQ171" s="182">
        <f>SUMIF(FY26_FE_Data_April15[[Type]:[Type]],$D$171,FY26_FE_Data_April15[FY24 ADM - Grades K-8])</f>
        <v>61478.550000000025</v>
      </c>
      <c r="CR171" s="182">
        <f>SUMIF(FY26_FE_Data_April15[[Type]:[Type]],$D$171,FY26_FE_Data_April15[FY24 ADM - Grades 1-12])</f>
        <v>70732.383333333302</v>
      </c>
      <c r="CS171" s="182">
        <f>SUMIF(FY26_FE_Data_April15[[Type]:[Type]],$D$171,FY26_FE_Data_April15[FY24 ADM - Grades K-12])</f>
        <v>77946.077777777813</v>
      </c>
      <c r="CT171" s="182">
        <f>SUMIF(FY26_FE_Data_April15[[Type]:[Type]],$D$171,FY26_FE_Data_April15[FY24 ADM - SPED Resource])</f>
        <v>11402.005555555555</v>
      </c>
      <c r="CU171" s="182">
        <f>SUMIF(FY26_FE_Data_April15[[Type]:[Type]],$D$171,FY26_FE_Data_April15[FY24 ADM - SPED Self-Contained])</f>
        <v>895.21666666666579</v>
      </c>
      <c r="CV171" s="182">
        <f>SUMIF(FY26_FE_Data_April15[[Type]:[Type]],$D$171,FY26_FE_Data_April15[FY24 ADM - Total SPED])</f>
        <v>12297.222222222224</v>
      </c>
      <c r="CW171" s="182">
        <f>SUMIF(FY26_FE_Data_April15[[Type]:[Type]],$D$171,FY26_FE_Data_April15[FY24 ADM - K-12 + SC])</f>
        <v>78841.294444444429</v>
      </c>
      <c r="CX171" s="182">
        <f>SUMIF(FY26_FE_Data_April15[[Type]:[Type]],$D$171,FY26_FE_Data_April15[FY24 ADM - Online Students - Online All 180 Days])</f>
        <v>3944.1833299999998</v>
      </c>
      <c r="CY171" s="182">
        <f>SUMIF(FY26_FE_Data_April15[[Type]:[Type]],$D$171,FY26_FE_Data_April15[Oct. 1, 2024 - FDK])</f>
        <v>6415</v>
      </c>
      <c r="CZ171" s="182">
        <f>SUMIF(FY26_FE_Data_April15[[Type]:[Type]],$D$171,FY26_FE_Data_April15[Oct. 1, 2024 - HDK])</f>
        <v>1219</v>
      </c>
      <c r="DA171" s="182">
        <f>SUMIF(FY26_FE_Data_April15[[Type]:[Type]],$D$171,FY26_FE_Data_April15[Oct. 1, 2024 - Total K])</f>
        <v>7634</v>
      </c>
      <c r="DB171" s="182">
        <f>SUMIF(FY26_FE_Data_April15[[Type]:[Type]],$D$171,FY26_FE_Data_April15[Oct. 1, 2024 - Grade 1])</f>
        <v>7587</v>
      </c>
      <c r="DC171" s="182">
        <f>SUMIF(FY26_FE_Data_April15[[Type]:[Type]],$D$171,FY26_FE_Data_April15[Oct. 1, 2024 - Grade 2])</f>
        <v>7648</v>
      </c>
      <c r="DD171" s="182">
        <f>SUMIF(FY26_FE_Data_April15[[Type]:[Type]],$D$171,FY26_FE_Data_April15[Oct. 1, 2024 - Grade 3])</f>
        <v>7443</v>
      </c>
      <c r="DE171" s="182">
        <f>SUMIF(FY26_FE_Data_April15[[Type]:[Type]],$D$171,FY26_FE_Data_April15[Oct. 1, 2024 - Grade 4])</f>
        <v>7440</v>
      </c>
      <c r="DF171" s="182">
        <f>SUMIF(FY26_FE_Data_April15[[Type]:[Type]],$D$171,FY26_FE_Data_April15[Oct. 1, 2024 - Grade 5])</f>
        <v>7387</v>
      </c>
      <c r="DG171" s="182">
        <f>SUMIF(FY26_FE_Data_April15[[Type]:[Type]],$D$171,FY26_FE_Data_April15[Oct. 1, 2024 - Grade 6])</f>
        <v>7309</v>
      </c>
      <c r="DH171" s="182">
        <f>SUMIF(FY26_FE_Data_April15[[Type]:[Type]],$D$171,FY26_FE_Data_April15[Oct. 1, 2024 - Grade 7])</f>
        <v>6169</v>
      </c>
      <c r="DI171" s="182">
        <f>SUMIF(FY26_FE_Data_April15[[Type]:[Type]],$D$171,FY26_FE_Data_April15[Oct. 1, 2024 - Grade 8])</f>
        <v>6102</v>
      </c>
      <c r="DJ171" s="182">
        <f>SUMIF(FY26_FE_Data_April15[[Type]:[Type]],$D$171,FY26_FE_Data_April15[Oct. 1, 2024 - Grade 9])</f>
        <v>5101</v>
      </c>
      <c r="DK171" s="182">
        <f>SUMIF(FY26_FE_Data_April15[[Type]:[Type]],$D$171,FY26_FE_Data_April15[Oct. 1, 2024 - Grade 10])</f>
        <v>4239</v>
      </c>
      <c r="DL171" s="182">
        <f>SUMIF(FY26_FE_Data_April15[[Type]:[Type]],$D$171,FY26_FE_Data_April15[Oct. 1, 2024 - Grade 11])</f>
        <v>4163</v>
      </c>
      <c r="DM171" s="182">
        <f>SUMIF(FY26_FE_Data_April15[[Type]:[Type]],$D$171,FY26_FE_Data_April15[Oct. 1, 2024 - Grade 12])</f>
        <v>3633</v>
      </c>
      <c r="DN171" s="182">
        <f>SUMIF(FY26_FE_Data_April15[[Type]:[Type]],$D$171,FY26_FE_Data_April15[Oct. 1, 2024 - Grades 1-6])</f>
        <v>44814</v>
      </c>
      <c r="DO171" s="182">
        <f>SUMIF(FY26_FE_Data_April15[[Type]:[Type]],$D$171,FY26_FE_Data_April15[Oct. 1, 2024 - Grades 7-8])</f>
        <v>12271</v>
      </c>
      <c r="DP171" s="182">
        <f>SUMIF(FY26_FE_Data_April15[[Type]:[Type]],$D$171,FY26_FE_Data_April15[Oct. 1, 2024 - Grades 9-12])</f>
        <v>17136</v>
      </c>
      <c r="DQ171" s="182">
        <f>SUMIF(FY26_FE_Data_April15[[Type]:[Type]],$D$171,FY26_FE_Data_April15[Oct. 1, 2024 - Grades K-8])</f>
        <v>64719</v>
      </c>
      <c r="DR171" s="182">
        <f>SUMIF(FY26_FE_Data_April15[[Type]:[Type]],$D$171,FY26_FE_Data_April15[Oct. 1, 2024 - Grades 1-12])</f>
        <v>74221</v>
      </c>
      <c r="DS171" s="182">
        <f>SUMIF(FY26_FE_Data_April15[[Type]:[Type]],$D$171,FY26_FE_Data_April15[Oct. 1, 2024 - Grades K-12])</f>
        <v>81855</v>
      </c>
      <c r="DT171" s="182">
        <f>SUMIF(FY26_FE_Data_April15[[Type]:[Type]],$D$171,FY26_FE_Data_April15[Oct. 1, 2024 - Foreign Exchange])</f>
        <v>53</v>
      </c>
      <c r="DU171" s="182">
        <f>SUMIF(FY26_FE_Data_April15[[Type]:[Type]],$D$171,FY26_FE_Data_April15[Oct. 1, 2024 - Econ. Disadv.])</f>
        <v>22942</v>
      </c>
      <c r="DV171" s="182">
        <f>SUMIF(FY26_FE_Data_April15[[Type]:[Type]],$D$171,FY26_FE_Data_April15[Oct. 1, 2024 - SPED Resource])</f>
        <v>11471</v>
      </c>
      <c r="DW171" s="182">
        <f>SUMIF(FY26_FE_Data_April15[[Type]:[Type]],$D$171,FY26_FE_Data_April15[Oct. 1, 2024 - SPED Self-Contained])</f>
        <v>919</v>
      </c>
      <c r="DX171" s="182">
        <f>SUMIF(FY26_FE_Data_April15[[Type]:[Type]],$D$171,FY26_FE_Data_April15[Oct. 1, 2024 - Total SPED])</f>
        <v>12390</v>
      </c>
      <c r="DY171" s="182">
        <f>SUMIF(FY26_FE_Data_April15[[Type]:[Type]],$D$171,FY26_FE_Data_April15[Oct. 1, 2024 - K12+SC])</f>
        <v>82774</v>
      </c>
      <c r="DZ171" s="182">
        <f>SUMIF(FY26_FE_Data_April15[[Type]:[Type]],$D$171,FY26_FE_Data_April15[Oct. 1, 2024 - LEP])</f>
        <v>7709</v>
      </c>
      <c r="EA171" s="182">
        <f>SUMIF(FY26_FE_Data_April15[[Type]:[Type]],$D$171,FY26_FE_Data_April15[ESA - All - FY25])</f>
        <v>5147.6652999999988</v>
      </c>
      <c r="EB171" s="182">
        <f>SUMIF(FY26_FE_Data_April15[[Type]:[Type]],$D$171,FY26_FE_Data_April15[ESA - Educators Only - FY25])</f>
        <v>4897.8598000000002</v>
      </c>
      <c r="EC171" s="182">
        <f>SUMIF(FY26_FE_Data_April15[[Type]:[Type]],$D$171,FY26_FE_Data_April15[TSM FTE - Elementary - FY25])</f>
        <v>2502.6349999999998</v>
      </c>
      <c r="ED171" s="182">
        <f>SUMIF(FY26_FE_Data_April15[[Type]:[Type]],$D$171,FY26_FE_Data_April15[TSM FTE - Secondary - FY25])</f>
        <v>1799.749</v>
      </c>
      <c r="EE171" s="182">
        <f>SUMIF(FY26_FE_Data_April15[[Type]:[Type]],$D$171,FY26_FE_Data_April15[TSM FTE - Reg. Pre-K - FY25])</f>
        <v>1.6</v>
      </c>
      <c r="EF171" s="182">
        <f>SUMIF(FY26_FE_Data_April15[[Type]:[Type]],$D$171,FY26_FE_Data_April15[Educ. Prof. Hrs. FTE - FY25])</f>
        <v>5309.302499999998</v>
      </c>
      <c r="EG171" s="182">
        <f>SUMIF(FY26_FE_Data_April15[[Type]:[Type]],$D$171,FY26_FE_Data_April15[ProStaff Ratios - FY24 YE])</f>
        <v>8.143420342018846</v>
      </c>
      <c r="EH171" s="182">
        <f>SUMIF(FY26_FE_Data_April15[[Type]:[Type]],$D$171,FY26_FE_Data_April15[Oct 1 2024 Counts - Online Students &gt;=180 Days in FY2024/Still Online on Oct 1])</f>
        <v>0</v>
      </c>
      <c r="EI171" s="182">
        <f>SUMIF(FY26_FE_Data_April15[[Type]:[Type]],$D$171,FY26_FE_Data_April15[Oct 1, 2025 (CDC) - K])</f>
        <v>7592</v>
      </c>
      <c r="EJ171" s="182">
        <f>SUMIF(FY26_FE_Data_April15[[Type]:[Type]],$D$171,FY26_FE_Data_April15[Oct 1, 2025 (CDC) - Grades 1-12])</f>
        <v>75772</v>
      </c>
      <c r="EK171" s="182">
        <f>SUMIF(FY26_FE_Data_April15[[Type]:[Type]],$D$171,FY26_FE_Data_April15[Oct 1, 2025 (CDC) - Grades 1-6])</f>
        <v>46070</v>
      </c>
      <c r="EL171" s="182">
        <f>SUMIF(FY26_FE_Data_April15[[Type]:[Type]],$D$171,FY26_FE_Data_April15[Oct 1, 2025 (CDC) - Grades 7-8])</f>
        <v>12360</v>
      </c>
      <c r="EM171" s="182">
        <f>SUMIF(FY26_FE_Data_April15[[Type]:[Type]],$D$171,FY26_FE_Data_April15[Oct 1, 2025 (CDC) - Grades 9-12])</f>
        <v>17342</v>
      </c>
      <c r="EN171" s="182">
        <f>SUMIF(FY26_FE_Data_April15[[Type]:[Type]],$D$171,FY26_FE_Data_April15[Oct 1, 2025 (CDC) - Grades K-12])</f>
        <v>83364</v>
      </c>
      <c r="EO171" s="182">
        <f>SUMIF(FY26_FE_Data_April15[[Type]:[Type]],$D$171,FY26_FE_Data_April15[December 1, 2024 - SPED Pre-K 3-5 Count])</f>
        <v>1</v>
      </c>
      <c r="EP171" s="182">
        <f>SUMIF(FY26_FE_Data_April15[[Type]:[Type]],$D$171,FY26_FE_Data_April15[December 1, 2024 - SPED K-12])</f>
        <v>12815</v>
      </c>
      <c r="EQ171" s="182">
        <f>SUMIF(FY26_FE_Data_April15[[Type]:[Type]],$D$171,FY26_FE_Data_April15[December 1, 2024 - SPED PreK-12 - All Ages])</f>
        <v>12816</v>
      </c>
      <c r="ER171" s="182">
        <f>SUMIF(FY26_FE_Data_April15[[Type]:[Type]],$D$171,FY26_FE_Data_April15[December 1, 2024 - SPED Resource])</f>
        <v>11889</v>
      </c>
      <c r="ES171" s="182">
        <f>SUMIF(FY26_FE_Data_April15[[Type]:[Type]],$D$171,FY26_FE_Data_April15[December 1, 2024 - SPED Self-Contained])</f>
        <v>926</v>
      </c>
      <c r="ET171" s="182">
        <f>SUMIF(FY26_FE_Data_April15[[Type]:[Type]],$D$171,FY26_FE_Data_April15[FY24 ESY Count])</f>
        <v>1115</v>
      </c>
      <c r="EU171" s="182">
        <f>SUMIF(FY26_FE_Data_April15[[Type]:[Type]],$D$171,FY26_FE_Data_April15[FY24 Classified FTE: Instructional Paraprofessionals])</f>
        <v>2259.0769999999989</v>
      </c>
      <c r="EV171" s="182">
        <f>SUMIF(FY26_FE_Data_April15[[Type]:[Type]],$D$171,FY26_FE_Data_April15[FY24 Classified FTE: Library Paraprofessionals])</f>
        <v>66.65100000000001</v>
      </c>
      <c r="EW171" s="182">
        <f>SUMIF(FY26_FE_Data_April15[[Type]:[Type]],$D$171,FY26_FE_Data_April15[FY24 Classified FTE: School Support])</f>
        <v>472.0870000000001</v>
      </c>
      <c r="EX171" s="182">
        <f>SUMIF(FY26_FE_Data_April15[[Type]:[Type]],$D$171,FY26_FE_Data_April15[FY24 Classified FTE: Student Support])</f>
        <v>223.45399999999998</v>
      </c>
      <c r="EY171" s="182">
        <f>SUMIF(FY26_FE_Data_April15[[Type]:[Type]],$D$171,FY26_FE_Data_April15[FY24 Classified FTE: Other Support Staff])</f>
        <v>625.279</v>
      </c>
      <c r="EZ171" s="182">
        <f>SUMIF(FY26_FE_Data_April15[[Type]:[Type]],$D$171,FY26_FE_Data_April15[FY24 Classified FTE: All Qualifying FTE])</f>
        <v>3646.5479999999984</v>
      </c>
      <c r="FA171" s="190">
        <f>SUMIF(FY26_FE_Data_April15[[Type]:[Type]],$D$171,FY26_FE_Data_April15[FY25 ADM - Half Day K])</f>
        <v>1060.0611111111111</v>
      </c>
      <c r="FB171" s="190">
        <f>SUMIF(FY26_FE_Data_April15[[Type]:[Type]],$D$171,FY26_FE_Data_April15[FY25 ADM - Full Day K])</f>
        <v>6433.561111111112</v>
      </c>
      <c r="FC171" s="190">
        <f>SUMIF(FY26_FE_Data_April15[[Type]:[Type]],$D$171,FY26_FE_Data_April15[FY25 ADM - Total K])</f>
        <v>7493.6222222222214</v>
      </c>
      <c r="FD171" s="190">
        <f>SUMIF(FY26_FE_Data_April15[[Type]:[Type]],$D$171,FY26_FE_Data_April15[FY25 ADM - Grade 1])</f>
        <v>7392.9555555555544</v>
      </c>
      <c r="FE171" s="190">
        <f>SUMIF(FY26_FE_Data_April15[[Type]:[Type]],$D$171,FY26_FE_Data_April15[FY25 ADM - Grade 2])</f>
        <v>7498.8222222222221</v>
      </c>
      <c r="FF171" s="190">
        <f>SUMIF(FY26_FE_Data_April15[[Type]:[Type]],$D$171,FY26_FE_Data_April15[FY25 ADM - Grade 3])</f>
        <v>7275.5333333333328</v>
      </c>
      <c r="FG171" s="190">
        <f>SUMIF(FY26_FE_Data_April15[[Type]:[Type]],$D$171,FY26_FE_Data_April15[FY25 ADM - Grade 4])</f>
        <v>7257.9666666666699</v>
      </c>
      <c r="FH171" s="190">
        <f>SUMIF(FY26_FE_Data_April15[[Type]:[Type]],$D$171,FY26_FE_Data_April15[FY25 ADM - Grade 5])</f>
        <v>7221.6222222222223</v>
      </c>
      <c r="FI171" s="190">
        <f>SUMIF(FY26_FE_Data_April15[[Type]:[Type]],$D$171,FY26_FE_Data_April15[FY25 ADM - Grade 6])</f>
        <v>7144.0277777777801</v>
      </c>
      <c r="FJ171" s="190">
        <f>SUMIF(FY26_FE_Data_April15[[Type]:[Type]],$D$171,FY26_FE_Data_April15[FY25 ADM - Grade 7])</f>
        <v>6027.7888888888911</v>
      </c>
      <c r="FK171" s="190">
        <f>SUMIF(FY26_FE_Data_April15[[Type]:[Type]],$D$171,FY26_FE_Data_April15[FY25 ADM - Grade 8])</f>
        <v>5971.5111111111137</v>
      </c>
      <c r="FL171" s="190">
        <f>SUMIF(FY26_FE_Data_April15[[Type]:[Type]],$D$171,FY26_FE_Data_April15[FY25 ADM - Grade 9])</f>
        <v>5002.9388888888898</v>
      </c>
      <c r="FM171" s="190">
        <f>SUMIF(FY26_FE_Data_April15[[Type]:[Type]],$D$171,FY26_FE_Data_April15[FY25 ADM - Grade 10])</f>
        <v>4133.5444444444447</v>
      </c>
      <c r="FN171" s="190">
        <f>SUMIF(FY26_FE_Data_April15[[Type]:[Type]],$D$171,FY26_FE_Data_April15[FY25 ADM - Grade 11])</f>
        <v>4048.5611111111111</v>
      </c>
      <c r="FO171" s="190">
        <f>SUMIF(FY26_FE_Data_April15[[Type]:[Type]],$D$171,FY26_FE_Data_April15[FY25 ADM - Grade 12])</f>
        <v>3444.3277777777776</v>
      </c>
      <c r="FP171" s="190">
        <f>SUMIF(FY26_FE_Data_April15[[Type]:[Type]],$D$171,FY26_FE_Data_April15[FY25 ADM - Grades 1-6])</f>
        <v>43790.927777777768</v>
      </c>
      <c r="FQ171" s="190">
        <f>SUMIF(FY26_FE_Data_April15[[Type]:[Type]],$D$171,FY26_FE_Data_April15[FY25 ADM - Grades 7-8])</f>
        <v>11999.300000000001</v>
      </c>
      <c r="FR171" s="190">
        <f>SUMIF(FY26_FE_Data_April15[[Type]:[Type]],$D$171,FY26_FE_Data_April15[FY25 ADM - Grades 9-12])</f>
        <v>16629.372222222213</v>
      </c>
      <c r="FS171" s="190">
        <f>SUMIF(FY26_FE_Data_April15[[Type]:[Type]],$D$171,FY26_FE_Data_April15[FY25 ADM - Grades K-8])</f>
        <v>63283.85</v>
      </c>
      <c r="FT171" s="190">
        <f>SUMIF(FY26_FE_Data_April15[[Type]:[Type]],$D$171,FY26_FE_Data_April15[FY25 ADM - Grades 1-12])</f>
        <v>72419.599999999977</v>
      </c>
      <c r="FU171" s="190">
        <f>SUMIF(FY26_FE_Data_April15[[Type]:[Type]],$D$171,FY26_FE_Data_April15[FY25 ADM - Grades K-12])</f>
        <v>79913.222222222234</v>
      </c>
      <c r="FV171" s="190">
        <f>SUMIF(FY26_FE_Data_April15[[Type]:[Type]],$D$171,FY26_FE_Data_April15[FY25 ADM - SPED Resource])</f>
        <v>11855.33333333333</v>
      </c>
      <c r="FW171" s="190">
        <f>SUMIF(FY26_FE_Data_April15[[Type]:[Type]],$D$171,FY26_FE_Data_April15[FY25 ADM - SPED Self-Contained])</f>
        <v>917.54999999999984</v>
      </c>
      <c r="FX171" s="190">
        <f>SUMIF(FY26_FE_Data_April15[[Type]:[Type]],$D$171,FY26_FE_Data_April15[FY25 ADM - Total SPED])</f>
        <v>12772.883333333331</v>
      </c>
      <c r="FY171" s="190">
        <f>SUMIF(FY26_FE_Data_April15[[Type]:[Type]],$D$171,FY26_FE_Data_April15[FY25 ADM - K-12 + SC])</f>
        <v>80830.772222222236</v>
      </c>
      <c r="FZ171" s="191">
        <f>SUMIF(FY26_FE_Data_April15[[Type]:[Type]],$D$171,FY26_FE_Data_April15[Oct. 1, 2025 - HDK])</f>
        <v>897</v>
      </c>
      <c r="GA171" s="191">
        <f>SUMIF(FY26_FE_Data_April15[[Type]:[Type]],$D$171,FY26_FE_Data_April15[Oct. 1, 2025 - FDK])</f>
        <v>7542</v>
      </c>
      <c r="GB171" s="191">
        <f>SUMIF(FY26_FE_Data_April15[[Type]:[Type]],$D$171,FY26_FE_Data_April15[Oct. 1, 2025 - Total K])</f>
        <v>8439</v>
      </c>
      <c r="GC171" s="191">
        <f>SUMIF(FY26_FE_Data_April15[[Type]:[Type]],$D$171,FY26_FE_Data_April15[Oct. 1, 2025 - Grade 1])</f>
        <v>7944</v>
      </c>
      <c r="GD171" s="191">
        <f>SUMIF(FY26_FE_Data_April15[[Type]:[Type]],$D$171,FY26_FE_Data_April15[Oct. 1, 2025 - Grade 2])</f>
        <v>7837</v>
      </c>
      <c r="GE171" s="191">
        <f>SUMIF(FY26_FE_Data_April15[[Type]:[Type]],$D$171,FY26_FE_Data_April15[Oct. 1, 2025 - Grade 3])</f>
        <v>7905</v>
      </c>
      <c r="GF171" s="191">
        <f>SUMIF(FY26_FE_Data_April15[[Type]:[Type]],$D$171,FY26_FE_Data_April15[Oct. 1, 2025 - Grade 4])</f>
        <v>7629</v>
      </c>
      <c r="GG171" s="191">
        <f>SUMIF(FY26_FE_Data_April15[[Type]:[Type]],$D$171,FY26_FE_Data_April15[Oct. 1, 2025 - Grade 5])</f>
        <v>7688</v>
      </c>
      <c r="GH171" s="191">
        <f>SUMIF(FY26_FE_Data_April15[[Type]:[Type]],$D$171,FY26_FE_Data_April15[Oct. 1, 2025 - Grade 6])</f>
        <v>7538</v>
      </c>
      <c r="GI171" s="191">
        <f>SUMIF(FY26_FE_Data_April15[[Type]:[Type]],$D$171,FY26_FE_Data_April15[Oct. 1, 2025 - Grade 7])</f>
        <v>6606</v>
      </c>
      <c r="GJ171" s="191">
        <f>SUMIF(FY26_FE_Data_April15[[Type]:[Type]],$D$171,FY26_FE_Data_April15[Oct. 1, 2025 - Grade 8])</f>
        <v>6084</v>
      </c>
      <c r="GK171" s="191">
        <f>SUMIF(FY26_FE_Data_April15[[Type]:[Type]],$D$171,FY26_FE_Data_April15[Oct. 1, 2025 - Grade 9])</f>
        <v>5333</v>
      </c>
      <c r="GL171" s="191">
        <f>SUMIF(FY26_FE_Data_April15[[Type]:[Type]],$D$171,FY26_FE_Data_April15[Oct. 1, 2025 - Grade 10])</f>
        <v>4289</v>
      </c>
      <c r="GM171" s="191">
        <f>SUMIF(FY26_FE_Data_April15[[Type]:[Type]],$D$171,FY26_FE_Data_April15[Oct. 1, 2025 - Grade 11])</f>
        <v>4167</v>
      </c>
      <c r="GN171" s="191">
        <f>SUMIF(FY26_FE_Data_April15[[Type]:[Type]],$D$171,FY26_FE_Data_April15[Oct. 1, 2025 - Grade 12])</f>
        <v>3809</v>
      </c>
      <c r="GO171" s="191">
        <f>SUMIF(FY26_FE_Data_April15[[Type]:[Type]],$D$171,FY26_FE_Data_April15[Oct. 1, 2025 - Grades 1-6])</f>
        <v>46541</v>
      </c>
      <c r="GP171" s="191">
        <f>SUMIF(FY26_FE_Data_April15[[Type]:[Type]],$D$171,FY26_FE_Data_April15[Oct. 1, 2025 - Grades 7-8])</f>
        <v>12690</v>
      </c>
      <c r="GQ171" s="191">
        <f>SUMIF(FY26_FE_Data_April15[[Type]:[Type]],$D$171,FY26_FE_Data_April15[Oct. 1, 2025 - Grades 9-12])</f>
        <v>17598</v>
      </c>
      <c r="GR171" s="191">
        <f>SUMIF(FY26_FE_Data_April15[[Type]:[Type]],$D$171,FY26_FE_Data_April15[Oct. 1, 2025 - Grades K-8])</f>
        <v>67670</v>
      </c>
      <c r="GS171" s="191">
        <f>SUMIF(FY26_FE_Data_April15[[Type]:[Type]],$D$171,FY26_FE_Data_April15[Oct. 1, 2025 - Grades 1-12])</f>
        <v>76829</v>
      </c>
      <c r="GT171" s="191">
        <f>SUMIF(FY26_FE_Data_April15[[Type]:[Type]],$D$171,FY26_FE_Data_April15[Oct. 1, 2025 - Grades K-12])</f>
        <v>85268</v>
      </c>
      <c r="GU171" s="191">
        <f>SUMIF(FY26_FE_Data_April15[[Type]:[Type]],$D$171,FY26_FE_Data_April15[Oct. 1, 2025 - Foreign Exchange])</f>
        <v>47</v>
      </c>
      <c r="GV171" s="191">
        <f>SUMIF(FY26_FE_Data_April15[[Type]:[Type]],$D$171,FY26_FE_Data_April15[Oct. 1, 2025 - Econ. Disadv.])</f>
        <v>24003</v>
      </c>
      <c r="GW171" s="191">
        <f>SUMIF(FY26_FE_Data_April15[[Type]:[Type]],$D$171,FY26_FE_Data_April15[Oct. 1, 2025 - SPED Resource])</f>
        <v>11992</v>
      </c>
      <c r="GX171" s="191">
        <f>SUMIF(FY26_FE_Data_April15[[Type]:[Type]],$D$171,FY26_FE_Data_April15[Oct. 1, 2025 - SPED Self-Contained])</f>
        <v>948</v>
      </c>
      <c r="GY171" s="191">
        <f>SUMIF(FY26_FE_Data_April15[[Type]:[Type]],$D$171,FY26_FE_Data_April15[Oct. 1, 2025 - Total SPED])</f>
        <v>12940</v>
      </c>
      <c r="GZ171" s="191">
        <f>SUMIF(FY26_FE_Data_April15[[Type]:[Type]],$D$171,FY26_FE_Data_April15[Oct. 1, 2025 - K-12 +SC])</f>
        <v>86216</v>
      </c>
      <c r="HA171" s="191">
        <f>SUMIF(FY26_FE_Data_April15[[Type]:[Type]],$D$171,FY26_FE_Data_April15[Oct. 1, 2025 - LEP])</f>
        <v>7675</v>
      </c>
      <c r="HB171" s="190">
        <f>SUMIF(FY26_FE_Data_April15[[Type]:[Type]],$D$171,FY26_FE_Data_April15[ESA - All - FY26])</f>
        <v>5294.0995000000003</v>
      </c>
      <c r="HC171" s="190">
        <f>SUMIF(FY26_FE_Data_April15[[Type]:[Type]],$D$171,FY26_FE_Data_April15[ESA - Educators Only - FY26])</f>
        <v>5038.4864999999991</v>
      </c>
      <c r="HD171" s="190">
        <f>SUMIF(FY26_FE_Data_April15[[Type]:[Type]],$D$171,FY26_FE_Data_April15[TSM FTE - Elementary - FY26])</f>
        <v>2579.0330000000004</v>
      </c>
      <c r="HE171" s="190">
        <f>SUMIF(FY26_FE_Data_April15[[Type]:[Type]],$D$171,FY26_FE_Data_April15[TSM FTE - Secondary - FY26])</f>
        <v>1796.943</v>
      </c>
      <c r="HF171" s="190">
        <f>SUMIF(FY26_FE_Data_April15[[Type]:[Type]],$D$171,FY26_FE_Data_April15[TSM FTE - Reg. Pre-K - FY26])</f>
        <v>0</v>
      </c>
      <c r="HG171" s="190">
        <f>SUMIF(FY26_FE_Data_April15[[Type]:[Type]],$D$171,FY26_FE_Data_April15[Educ. Prof. Hrs. FTE - FY26])</f>
        <v>5424.9639999999972</v>
      </c>
      <c r="HH171" s="190">
        <f>SUMIF(FY26_FE_Data_April15[[Type]:[Type]],$D$171,FY26_FE_Data_April15[December 1, 2025 - SPED Pre-K 3-5 Total])</f>
        <v>0</v>
      </c>
      <c r="HI171" s="190">
        <f>SUMIF(FY26_FE_Data_April15[[Type]:[Type]],$D$171,FY26_FE_Data_April15[December 1, 2025 - SPED K-12])</f>
        <v>13214</v>
      </c>
      <c r="HJ171" s="190">
        <f>SUMIF(FY26_FE_Data_April15[[Type]:[Type]],$D$171,FY26_FE_Data_April15[December 1, 2025 - SPED PreK-12 - All Ages])</f>
        <v>13214</v>
      </c>
      <c r="HK171" s="190">
        <f>SUMIF(FY26_FE_Data_April15[[Type]:[Type]],$D$171,FY26_FE_Data_April15[December 1, 2025 - SPED Resource])</f>
        <v>12255</v>
      </c>
      <c r="HL171" s="190">
        <f>SUMIF(FY26_FE_Data_April15[[Type]:[Type]],$D$171,FY26_FE_Data_April15[December 1, 2025 - SPED Self-Contained])</f>
        <v>959</v>
      </c>
      <c r="HM171" s="190"/>
      <c r="HN171" s="190">
        <f>SUMIF(FY26_FE_Data_April15[[Type]:[Type]],$D$171,FY26_FE_Data_April15[Oct 1, 2026 (CDC) - K])</f>
        <v>8655</v>
      </c>
      <c r="HO171" s="190">
        <f>SUMIF(FY26_FE_Data_April15[[Type]:[Type]],$D$171,FY26_FE_Data_April15[Oct 1, 2026 (CDC) - Grades 1-12])</f>
        <v>80206</v>
      </c>
      <c r="HP171" s="190">
        <f>SUMIF(FY26_FE_Data_April15[[Type]:[Type]],$D$171,FY26_FE_Data_April15[Oct 1, 2026 (CDC) - Grades 1-6])</f>
        <v>48174</v>
      </c>
      <c r="HQ171" s="190">
        <f>SUMIF(FY26_FE_Data_April15[[Type]:[Type]],$D$171,FY26_FE_Data_April15[Oct 1, 2026 (CDC) - Grades 7-8])</f>
        <v>13547</v>
      </c>
      <c r="HR171" s="190">
        <f>SUMIF(FY26_FE_Data_April15[[Type]:[Type]],$D$171,FY26_FE_Data_April15[Oct 1, 2026 (CDC) - Grades 9-12])</f>
        <v>18485</v>
      </c>
      <c r="HS171" s="190">
        <f>SUMIF(FY26_FE_Data_April15[[Type]:[Type]],$D$171,FY26_FE_Data_April15[Oct 1, 2026 (CDC) - Grades K-12])</f>
        <v>88861</v>
      </c>
      <c r="HT171" s="190">
        <f>SUMIF(FY26_FE_Data_April15[[Type]:[Type]],$D$171,FY26_FE_Data_April15[Oct 1, 2026 (CDC) - Grades K-8])</f>
        <v>70376</v>
      </c>
      <c r="HU171" s="190">
        <f>SUMIF(FY26_FE_Data_April15[[Type]:[Type]],$D$171,FY26_FE_Data_April15[FY25 ADM - Online Students - Online All 180 Days])</f>
        <v>4395.9777760000006</v>
      </c>
    </row>
    <row r="172" spans="1:233" s="190" customFormat="1">
      <c r="A172" s="192"/>
      <c r="B172" s="192"/>
      <c r="D172" s="190" t="s">
        <v>87</v>
      </c>
      <c r="H172" s="190">
        <f>SUMIF(FY26_FE_Data_April15[[Type]:[Type]],$D$172,FY26_FE_Data_April15[FY22ADM - SPED Resource])</f>
        <v>60263.338888888873</v>
      </c>
      <c r="I172" s="190">
        <f>SUMIF(FY26_FE_Data_April15[[Type]:[Type]],$D$172,FY26_FE_Data_April15[FY22ADM - SPED Self-Contained])</f>
        <v>10290.177777777775</v>
      </c>
      <c r="J172" s="190">
        <f>SUMIF(FY26_FE_Data_April15[[Type]:[Type]],$D$172,FY26_FE_Data_April15[FY22 ADM - Total SPED])</f>
        <v>70553.516666666692</v>
      </c>
      <c r="K172" s="190">
        <f>SUMIF(FY26_FE_Data_April15[[Type]:[Type]],$D$172,FY26_FE_Data_April15[Oct 1, 2022 - K])</f>
        <v>39316</v>
      </c>
      <c r="L172" s="190">
        <f>SUMIF(FY26_FE_Data_April15[[Type]:[Type]],$D$172,FY26_FE_Data_April15[Oct 1, 2022 - Grades 1-6])</f>
        <v>264502</v>
      </c>
      <c r="M172" s="190">
        <f>SUMIF(FY26_FE_Data_April15[[Type]:[Type]],$D$172,FY26_FE_Data_April15[Oct 1, 2022 - Grades 7-8])</f>
        <v>95295</v>
      </c>
      <c r="N172" s="190">
        <f>SUMIF(FY26_FE_Data_April15[[Type]:[Type]],$D$172,FY26_FE_Data_April15[Oct 1, 2022 - Grades 9-12])</f>
        <v>197786</v>
      </c>
      <c r="O172" s="190">
        <f>SUMIF(FY26_FE_Data_April15[[Type]:[Type]],$D$172,FY26_FE_Data_April15[Oct 1, 2022 - Grades K-12])</f>
        <v>596899</v>
      </c>
      <c r="P172" s="190">
        <f>SUMIF(FY26_FE_Data_April15[[Type]:[Type]],$D$172,FY26_FE_Data_April15[Oct 1, 2022 - Grades 1-12])</f>
        <v>557583</v>
      </c>
      <c r="Q172" s="190">
        <f>SUMIF(FY26_FE_Data_April15[[Type]:[Type]],$D$172,FY26_FE_Data_April15[Oct 1, 2022 - Grades K-8])</f>
        <v>399113</v>
      </c>
      <c r="R172" s="190">
        <f>SUMIF(FY26_FE_Data_April15[[Type]:[Type]],$D$172,FY26_FE_Data_April15[Oct 1, 2022 - Self-Contained])</f>
        <v>10335</v>
      </c>
      <c r="S172" s="190">
        <f>SUMIF(FY26_FE_Data_April15[[Type]:[Type]],$D$172,FY26_FE_Data_April15[FY23 ADM - K])</f>
        <v>38342.255555555559</v>
      </c>
      <c r="T172" s="190">
        <f>SUMIF(FY26_FE_Data_April15[[Type]:[Type]],$D$172,FY26_FE_Data_April15[FY23 ADM - Grade 1])</f>
        <v>42163.844444444454</v>
      </c>
      <c r="U172" s="190">
        <f>SUMIF(FY26_FE_Data_April15[[Type]:[Type]],$D$172,FY26_FE_Data_April15[FY23 ADM - Grade 2])</f>
        <v>42124.133333333339</v>
      </c>
      <c r="V172" s="190">
        <f>SUMIF(FY26_FE_Data_April15[[Type]:[Type]],$D$172,FY26_FE_Data_April15[FY23 ADM - Grade 3])</f>
        <v>42924.477777777764</v>
      </c>
      <c r="W172" s="190">
        <f>SUMIF(FY26_FE_Data_April15[[Type]:[Type]],$D$172,FY26_FE_Data_April15[FY23 ADM - Grade 4])</f>
        <v>43947.461111111123</v>
      </c>
      <c r="X172" s="190">
        <f>SUMIF(FY26_FE_Data_April15[[Type]:[Type]],$D$172,FY26_FE_Data_April15[FY23 ADM - Grade 5])</f>
        <v>43253.083333333328</v>
      </c>
      <c r="Y172" s="190">
        <f>SUMIF(FY26_FE_Data_April15[[Type]:[Type]],$D$172,FY26_FE_Data_April15[FY23 ADM - Grade 6])</f>
        <v>44440.366666666669</v>
      </c>
      <c r="Z172" s="190">
        <f>SUMIF(FY26_FE_Data_April15[[Type]:[Type]],$D$172,FY26_FE_Data_April15[FY23 ADM - Grade 7])</f>
        <v>45816.866666666661</v>
      </c>
      <c r="AA172" s="190">
        <f>SUMIF(FY26_FE_Data_April15[[Type]:[Type]],$D$172,FY26_FE_Data_April15[FY23 ADM - Grade 8])</f>
        <v>47063.022222222222</v>
      </c>
      <c r="AB172" s="190">
        <f>SUMIF(FY26_FE_Data_April15[[Type]:[Type]],$D$172,FY26_FE_Data_April15[FY23 ADM - Grade 9])</f>
        <v>49251.255555555566</v>
      </c>
      <c r="AC172" s="190">
        <f>SUMIF(FY26_FE_Data_April15[[Type]:[Type]],$D$172,FY26_FE_Data_April15[FY23 ADM - Grade 10])</f>
        <v>49776.888888888912</v>
      </c>
      <c r="AD172" s="190">
        <f>SUMIF(FY26_FE_Data_April15[[Type]:[Type]],$D$172,FY26_FE_Data_April15[FY23 ADM - Grade 11])</f>
        <v>47131.494444444434</v>
      </c>
      <c r="AE172" s="190">
        <f>SUMIF(FY26_FE_Data_April15[[Type]:[Type]],$D$172,FY26_FE_Data_April15[FY23 ADM - Grade 12])</f>
        <v>41250.833333333336</v>
      </c>
      <c r="AF172" s="190">
        <f>SUMIF(FY26_FE_Data_April15[[Type]:[Type]],$D$172,FY26_FE_Data_April15[FY23 ADM - Grades 1-6])</f>
        <v>258853.36666666667</v>
      </c>
      <c r="AG172" s="190">
        <f>SUMIF(FY26_FE_Data_April15[[Type]:[Type]],$D$172,FY26_FE_Data_April15[FY23 ADM - Grades 7-8])</f>
        <v>92879.888888888905</v>
      </c>
      <c r="AH172" s="190">
        <f>SUMIF(FY26_FE_Data_April15[[Type]:[Type]],$D$172,FY26_FE_Data_April15[FY23 ADM - Grades 9-12])</f>
        <v>187410.47222222222</v>
      </c>
      <c r="AI172" s="190">
        <f>SUMIF(FY26_FE_Data_April15[[Type]:[Type]],$D$172,FY26_FE_Data_April15[FY23 ADM - Grades K-8])</f>
        <v>390075.51111111103</v>
      </c>
      <c r="AJ172" s="190">
        <f>SUMIF(FY26_FE_Data_April15[[Type]:[Type]],$D$172,FY26_FE_Data_April15[FY23 ADM - Grades 1-12])</f>
        <v>539143.72777777771</v>
      </c>
      <c r="AK172" s="190">
        <f>SUMIF(FY26_FE_Data_April15[[Type]:[Type]],$D$172,FY26_FE_Data_April15[FY23 ADM - Grades K-12])</f>
        <v>577485.9833333334</v>
      </c>
      <c r="AL172" s="190">
        <f>SUMIF(FY26_FE_Data_April15[[Type]:[Type]],$D$172,FY26_FE_Data_April15[FY23 ADM - SPED Resource])</f>
        <v>62407.15</v>
      </c>
      <c r="AM172" s="190">
        <f>SUMIF(FY26_FE_Data_April15[[Type]:[Type]],$D$172,FY26_FE_Data_April15[FY23 ADM - SPED Self-Contained])</f>
        <v>10582.627777777778</v>
      </c>
      <c r="AN172" s="190">
        <f>SUMIF(FY26_FE_Data_April15[[Type]:[Type]],$D$172,FY26_FE_Data_April15[FY23 ADM - Total SPED])</f>
        <v>72989.777777777781</v>
      </c>
      <c r="AO172" s="190">
        <f>SUMIF(FY26_FE_Data_April15[[Type]:[Type]],$D$172,FY26_FE_Data_April15[FY23 ADM - K-12 + SC])</f>
        <v>588068.61111111101</v>
      </c>
      <c r="AP172" s="190">
        <f>SUMIF(FY26_FE_Data_April15[[Type]:[Type]],$D$172,FY26_FE_Data_April15[Oct. 1, 2023 - K])</f>
        <v>37863</v>
      </c>
      <c r="AQ172" s="190">
        <f>SUMIF(FY26_FE_Data_April15[[Type]:[Type]],$D$172,FY26_FE_Data_April15[Oct. 1, 2023 - Grade 1])</f>
        <v>40723</v>
      </c>
      <c r="AR172" s="190">
        <f>SUMIF(FY26_FE_Data_April15[[Type]:[Type]],$D$172,FY26_FE_Data_April15[Oct. 1, 2023 - Grade 2])</f>
        <v>43589</v>
      </c>
      <c r="AS172" s="190">
        <f>SUMIF(FY26_FE_Data_April15[[Type]:[Type]],$D$172,FY26_FE_Data_April15[Oct. 1, 2023 - Grade 3])</f>
        <v>43626</v>
      </c>
      <c r="AT172" s="190">
        <f>SUMIF(FY26_FE_Data_April15[[Type]:[Type]],$D$172,FY26_FE_Data_April15[Oct. 1, 2023 - Grade 4])</f>
        <v>44196</v>
      </c>
      <c r="AU172" s="190">
        <f>SUMIF(FY26_FE_Data_April15[[Type]:[Type]],$D$172,FY26_FE_Data_April15[Oct. 1, 2023 - Grade 5])</f>
        <v>45312</v>
      </c>
      <c r="AV172" s="190">
        <f>SUMIF(FY26_FE_Data_April15[[Type]:[Type]],$D$172,FY26_FE_Data_April15[Oct. 1, 2023 - Grade 6])</f>
        <v>44667</v>
      </c>
      <c r="AW172" s="190">
        <f>SUMIF(FY26_FE_Data_April15[[Type]:[Type]],$D$172,FY26_FE_Data_April15[Oct. 1, 2023 - Grade 7])</f>
        <v>46812</v>
      </c>
      <c r="AX172" s="190">
        <f>SUMIF(FY26_FE_Data_April15[[Type]:[Type]],$D$172,FY26_FE_Data_April15[Oct. 1, 2023 - Grade 8])</f>
        <v>47467</v>
      </c>
      <c r="AY172" s="190">
        <f>SUMIF(FY26_FE_Data_April15[[Type]:[Type]],$D$172,FY26_FE_Data_April15[Oct. 1, 2023 - Grade 9])</f>
        <v>49545</v>
      </c>
      <c r="AZ172" s="190">
        <f>SUMIF(FY26_FE_Data_April15[[Type]:[Type]],$D$172,FY26_FE_Data_April15[Oct. 1, 2023 - Grade 10])</f>
        <v>51423</v>
      </c>
      <c r="BA172" s="190">
        <f>SUMIF(FY26_FE_Data_April15[[Type]:[Type]],$D$172,FY26_FE_Data_April15[Oct. 1, 2023 - Grade 11])</f>
        <v>50526</v>
      </c>
      <c r="BB172" s="190">
        <f>SUMIF(FY26_FE_Data_April15[[Type]:[Type]],$D$172,FY26_FE_Data_April15[Oct. 1, 2023 - Grade 12])</f>
        <v>48201</v>
      </c>
      <c r="BC172" s="190">
        <f>SUMIF(FY26_FE_Data_April15[[Type]:[Type]],$D$172,FY26_FE_Data_April15[Oct. 1, 2023 - Grades 1-6])</f>
        <v>262113</v>
      </c>
      <c r="BD172" s="190">
        <f>SUMIF(FY26_FE_Data_April15[[Type]:[Type]],$D$172,FY26_FE_Data_April15[Oct. 1, 2023 - Grades 7-8])</f>
        <v>94279</v>
      </c>
      <c r="BE172" s="190">
        <f>SUMIF(FY26_FE_Data_April15[[Type]:[Type]],$D$172,FY26_FE_Data_April15[Oct. 1, 2023 - Grades 9-12])</f>
        <v>199695</v>
      </c>
      <c r="BF172" s="190">
        <f>SUMIF(FY26_FE_Data_April15[[Type]:[Type]],$D$172,FY26_FE_Data_April15[Oct. 1, 2023 - Grades K-8])</f>
        <v>394255</v>
      </c>
      <c r="BG172" s="190">
        <f>SUMIF(FY26_FE_Data_April15[[Type]:[Type]],$D$172,FY26_FE_Data_April15[Oct. 1, 2023 - Grades 1-12])</f>
        <v>556087</v>
      </c>
      <c r="BH172" s="190">
        <f>SUMIF(FY26_FE_Data_April15[[Type]:[Type]],$D$172,FY26_FE_Data_April15[Oct. 1, 2023 - Grades K-12])</f>
        <v>593950</v>
      </c>
      <c r="BI172" s="190">
        <f>SUMIF(FY26_FE_Data_April15[[Type]:[Type]],$D$172,FY26_FE_Data_April15[Oct. 1, 2023 - FDK Counts])</f>
        <v>29661</v>
      </c>
      <c r="BJ172" s="190">
        <f>SUMIF(FY26_FE_Data_April15[[Type]:[Type]],$D$172,FY26_FE_Data_April15[Oct. 1, 2023 - HDK Counts])</f>
        <v>8202</v>
      </c>
      <c r="BK172" s="190">
        <f>SUMIF(FY26_FE_Data_April15[[Type]:[Type]],$D$172,FY26_FE_Data_April15[Oct. 1, 2023 - Foreign Exchange])</f>
        <v>319</v>
      </c>
      <c r="BL172" s="190">
        <f>SUMIF(FY26_FE_Data_April15[[Type]:[Type]],$D$172,FY26_FE_Data_April15[Oct. 1, 2023 - Econ. Disadv.])</f>
        <v>182079</v>
      </c>
      <c r="BM172" s="190">
        <f>SUMIF(FY26_FE_Data_April15[[Type]:[Type]],$D$172,FY26_FE_Data_April15[Oct. 1, 2023 - SPED Resource])</f>
        <v>63533</v>
      </c>
      <c r="BN172" s="190">
        <f>SUMIF(FY26_FE_Data_April15[[Type]:[Type]],$D$172,FY26_FE_Data_April15[Oct. 1, 2023 - SPED Self-Contained])</f>
        <v>10829</v>
      </c>
      <c r="BO172" s="190">
        <f>SUMIF(FY26_FE_Data_April15[[Type]:[Type]],$D$172,FY26_FE_Data_April15[Oct. 1, 2023 - Total SPED])</f>
        <v>74362</v>
      </c>
      <c r="BP172" s="190">
        <f>SUMIF(FY26_FE_Data_April15[[Type]:[Type]],$D$172,FY26_FE_Data_April15[Oct. 1, 2023 - LEP])</f>
        <v>51930</v>
      </c>
      <c r="BQ172" s="190">
        <f>SUMIF(FY26_FE_Data_April15[[Type]:[Type]],$D$172,FY26_FE_Data_April15[Prostaff Ratios])</f>
        <v>3.6415312573679484</v>
      </c>
      <c r="BR172" s="190">
        <f>SUMIF(FY26_FE_Data_April15[[Type]:[Type]],$D$172,FY26_FE_Data_April15[ESA - All - FY24])</f>
        <v>33576.673319999994</v>
      </c>
      <c r="BS172" s="190">
        <f>SUMIF(FY26_FE_Data_April15[[Type]:[Type]],$D$172,FY26_FE_Data_April15[ESA - Educators Only - FY24])</f>
        <v>31996.94732000001</v>
      </c>
      <c r="BT172" s="190">
        <f>SUMIF(FY26_FE_Data_April15[[Type]:[Type]],$D$172,FY26_FE_Data_April15[TSM FTE - FY24])</f>
        <v>29709.273480000003</v>
      </c>
      <c r="BU172" s="190">
        <f>SUMIF(FY26_FE_Data_April15[[Type]:[Type]],$D$172,FY26_FE_Data_April15[Educ. Prof. Hrs. FTE - FY24])</f>
        <v>33123.819380000023</v>
      </c>
      <c r="BV172" s="190">
        <f>SUMIF(FY26_FE_Data_April15[[Type]:[Type]],$D$172,FY26_FE_Data_April15[Oct 1 2020 Counts - Online Students &gt;180 Days ])</f>
        <v>7562</v>
      </c>
      <c r="BW172" s="190">
        <f>SUMIF(FY26_FE_Data_April15[[Type]:[Type]],$D$172,FY26_FE_Data_April15[Oct 1 2023 Counts - Online Students &gt;180 Days in FY2023/Still Online on Oct 1])</f>
        <v>8703</v>
      </c>
      <c r="BX172" s="190">
        <f>SUMIF(FY26_FE_Data_April15[[Type]:[Type]],$D$172,FY26_FE_Data_April15[FY23 ADM - Online Students &gt;180 Days ])</f>
        <v>20292.733325999994</v>
      </c>
      <c r="BY172" s="190">
        <f>SUMIF(FY26_FE_Data_April15[[Type]:[Type]],$D$172,FY26_FE_Data_April15[FY24 ADM - Half Day K])</f>
        <v>7932.477762999999</v>
      </c>
      <c r="BZ172" s="190">
        <f>SUMIF(FY26_FE_Data_April15[[Type]:[Type]],$D$172,FY26_FE_Data_April15[FY24 ADM - Full Day K])</f>
        <v>29176.049979999996</v>
      </c>
      <c r="CA172" s="190">
        <f>SUMIF(FY26_FE_Data_April15[[Type]:[Type]],$D$172,FY26_FE_Data_April15[FY24 ADM - Total K])</f>
        <v>37108.527777777774</v>
      </c>
      <c r="CB172" s="190">
        <f>SUMIF(FY26_FE_Data_April15[[Type]:[Type]],$D$172,FY26_FE_Data_April15[FY24 ADM - Grade 1])</f>
        <v>39814.261111111104</v>
      </c>
      <c r="CC172" s="190">
        <f>SUMIF(FY26_FE_Data_April15[[Type]:[Type]],$D$172,FY26_FE_Data_April15[FY24 ADM - Grade 2])</f>
        <v>42656.255555555566</v>
      </c>
      <c r="CD172" s="190">
        <f>SUMIF(FY26_FE_Data_April15[[Type]:[Type]],$D$172,FY26_FE_Data_April15[FY24 ADM - Grade 3])</f>
        <v>42785.866666666661</v>
      </c>
      <c r="CE172" s="190">
        <f>SUMIF(FY26_FE_Data_April15[[Type]:[Type]],$D$172,FY26_FE_Data_April15[FY24 ADM - Grade 4])</f>
        <v>43346.899999999994</v>
      </c>
      <c r="CF172" s="190">
        <f>SUMIF(FY26_FE_Data_April15[[Type]:[Type]],$D$172,FY26_FE_Data_April15[FY24 ADM - Grade 5])</f>
        <v>44397.338888888888</v>
      </c>
      <c r="CG172" s="190">
        <f>SUMIF(FY26_FE_Data_April15[[Type]:[Type]],$D$172,FY26_FE_Data_April15[FY24 ADM - Grade 6])</f>
        <v>43664.672222222216</v>
      </c>
      <c r="CH172" s="190">
        <f>SUMIF(FY26_FE_Data_April15[[Type]:[Type]],$D$172,FY26_FE_Data_April15[FY24 ADM - Grade 7])</f>
        <v>45676.15</v>
      </c>
      <c r="CI172" s="190">
        <f>SUMIF(FY26_FE_Data_April15[[Type]:[Type]],$D$172,FY26_FE_Data_April15[FY24 ADM - Grade 8])</f>
        <v>46272.905555555561</v>
      </c>
      <c r="CJ172" s="190">
        <f>SUMIF(FY26_FE_Data_April15[[Type]:[Type]],$D$172,FY26_FE_Data_April15[FY24 ADM - Grade 9])</f>
        <v>48324.988888888889</v>
      </c>
      <c r="CK172" s="190">
        <f>SUMIF(FY26_FE_Data_April15[[Type]:[Type]],$D$172,FY26_FE_Data_April15[FY24 ADM - Grade 10])</f>
        <v>49998.166666666664</v>
      </c>
      <c r="CL172" s="190">
        <f>SUMIF(FY26_FE_Data_April15[[Type]:[Type]],$D$172,FY26_FE_Data_April15[FY24 ADM - Grade 11])</f>
        <v>48806.805555555562</v>
      </c>
      <c r="CM172" s="190">
        <f>SUMIF(FY26_FE_Data_April15[[Type]:[Type]],$D$172,FY26_FE_Data_April15[FY24 ADM - Grade 12])</f>
        <v>42143.516666666663</v>
      </c>
      <c r="CN172" s="190">
        <f>SUMIF(FY26_FE_Data_April15[[Type]:[Type]],$D$172,FY26_FE_Data_April15[FY24 ADM - Grades 1-6])</f>
        <v>256665.29444444444</v>
      </c>
      <c r="CO172" s="190">
        <f>SUMIF(FY26_FE_Data_April15[[Type]:[Type]],$D$172,FY26_FE_Data_April15[FY24 ADM - Grades 7-8])</f>
        <v>91949.055555555562</v>
      </c>
      <c r="CP172" s="190">
        <f>SUMIF(FY26_FE_Data_April15[[Type]:[Type]],$D$172,FY26_FE_Data_April15[FY24 ADM - Grades 9-12])</f>
        <v>189273.47777777779</v>
      </c>
      <c r="CQ172" s="190">
        <f>SUMIF(FY26_FE_Data_April15[[Type]:[Type]],$D$172,FY26_FE_Data_April15[FY24 ADM - Grades K-8])</f>
        <v>385722.87777777761</v>
      </c>
      <c r="CR172" s="190">
        <f>SUMIF(FY26_FE_Data_April15[[Type]:[Type]],$D$172,FY26_FE_Data_April15[FY24 ADM - Grades 1-12])</f>
        <v>537887.8277777778</v>
      </c>
      <c r="CS172" s="190">
        <f>SUMIF(FY26_FE_Data_April15[[Type]:[Type]],$D$172,FY26_FE_Data_April15[FY24 ADM - Grades K-12])</f>
        <v>574996.35555555532</v>
      </c>
      <c r="CT172" s="190">
        <f>SUMIF(FY26_FE_Data_April15[[Type]:[Type]],$D$172,FY26_FE_Data_April15[FY24 ADM - SPED Resource])</f>
        <v>64114.205555555549</v>
      </c>
      <c r="CU172" s="190">
        <f>SUMIF(FY26_FE_Data_April15[[Type]:[Type]],$D$172,FY26_FE_Data_April15[FY24 ADM - SPED Self-Contained])</f>
        <v>10795.622222222224</v>
      </c>
      <c r="CV172" s="190">
        <f>SUMIF(FY26_FE_Data_April15[[Type]:[Type]],$D$172,FY26_FE_Data_April15[FY24 ADM - Total SPED])</f>
        <v>74909.827777777769</v>
      </c>
      <c r="CW172" s="190">
        <f>SUMIF(FY26_FE_Data_April15[[Type]:[Type]],$D$172,FY26_FE_Data_April15[FY24 ADM - K-12 + SC])</f>
        <v>585791.97777777759</v>
      </c>
      <c r="CX172" s="190">
        <f>SUMIF(FY26_FE_Data_April15[[Type]:[Type]],$D$172,FY26_FE_Data_April15[FY24 ADM - Online Students - Online All 180 Days])</f>
        <v>18466.094440000001</v>
      </c>
      <c r="CY172" s="190">
        <f>SUMIF(FY26_FE_Data_April15[[Type]:[Type]],$D$172,FY26_FE_Data_April15[Oct. 1, 2024 - FDK])</f>
        <v>34221</v>
      </c>
      <c r="CZ172" s="190">
        <f>SUMIF(FY26_FE_Data_April15[[Type]:[Type]],$D$172,FY26_FE_Data_April15[Oct. 1, 2024 - HDK])</f>
        <v>2930</v>
      </c>
      <c r="DA172" s="190">
        <f>SUMIF(FY26_FE_Data_April15[[Type]:[Type]],$D$172,FY26_FE_Data_April15[Oct. 1, 2024 - Total K])</f>
        <v>37151</v>
      </c>
      <c r="DB172" s="190">
        <f>SUMIF(FY26_FE_Data_April15[[Type]:[Type]],$D$172,FY26_FE_Data_April15[Oct. 1, 2024 - Grade 1])</f>
        <v>38756</v>
      </c>
      <c r="DC172" s="190">
        <f>SUMIF(FY26_FE_Data_April15[[Type]:[Type]],$D$172,FY26_FE_Data_April15[Oct. 1, 2024 - Grade 2])</f>
        <v>40893</v>
      </c>
      <c r="DD172" s="190">
        <f>SUMIF(FY26_FE_Data_April15[[Type]:[Type]],$D$172,FY26_FE_Data_April15[Oct. 1, 2024 - Grade 3])</f>
        <v>43682</v>
      </c>
      <c r="DE172" s="190">
        <f>SUMIF(FY26_FE_Data_April15[[Type]:[Type]],$D$172,FY26_FE_Data_April15[Oct. 1, 2024 - Grade 4])</f>
        <v>43873</v>
      </c>
      <c r="DF172" s="190">
        <f>SUMIF(FY26_FE_Data_April15[[Type]:[Type]],$D$172,FY26_FE_Data_April15[Oct. 1, 2024 - Grade 5])</f>
        <v>44321</v>
      </c>
      <c r="DG172" s="190">
        <f>SUMIF(FY26_FE_Data_April15[[Type]:[Type]],$D$172,FY26_FE_Data_April15[Oct. 1, 2024 - Grade 6])</f>
        <v>45498</v>
      </c>
      <c r="DH172" s="190">
        <f>SUMIF(FY26_FE_Data_April15[[Type]:[Type]],$D$172,FY26_FE_Data_April15[Oct. 1, 2024 - Grade 7])</f>
        <v>45765</v>
      </c>
      <c r="DI172" s="190">
        <f>SUMIF(FY26_FE_Data_April15[[Type]:[Type]],$D$172,FY26_FE_Data_April15[Oct. 1, 2024 - Grade 8])</f>
        <v>47032</v>
      </c>
      <c r="DJ172" s="190">
        <f>SUMIF(FY26_FE_Data_April15[[Type]:[Type]],$D$172,FY26_FE_Data_April15[Oct. 1, 2024 - Grade 9])</f>
        <v>48722</v>
      </c>
      <c r="DK172" s="190">
        <f>SUMIF(FY26_FE_Data_April15[[Type]:[Type]],$D$172,FY26_FE_Data_April15[Oct. 1, 2024 - Grade 10])</f>
        <v>50544</v>
      </c>
      <c r="DL172" s="190">
        <f>SUMIF(FY26_FE_Data_April15[[Type]:[Type]],$D$172,FY26_FE_Data_April15[Oct. 1, 2024 - Grade 11])</f>
        <v>50817</v>
      </c>
      <c r="DM172" s="190">
        <f>SUMIF(FY26_FE_Data_April15[[Type]:[Type]],$D$172,FY26_FE_Data_April15[Oct. 1, 2024 - Grade 12])</f>
        <v>49908</v>
      </c>
      <c r="DN172" s="190">
        <f>SUMIF(FY26_FE_Data_April15[[Type]:[Type]],$D$172,FY26_FE_Data_April15[Oct. 1, 2024 - Grades 1-6])</f>
        <v>257023</v>
      </c>
      <c r="DO172" s="190">
        <f>SUMIF(FY26_FE_Data_April15[[Type]:[Type]],$D$172,FY26_FE_Data_April15[Oct. 1, 2024 - Grades 7-8])</f>
        <v>92797</v>
      </c>
      <c r="DP172" s="190">
        <f>SUMIF(FY26_FE_Data_April15[[Type]:[Type]],$D$172,FY26_FE_Data_April15[Oct. 1, 2024 - Grades 9-12])</f>
        <v>199991</v>
      </c>
      <c r="DQ172" s="190">
        <f>SUMIF(FY26_FE_Data_April15[[Type]:[Type]],$D$172,FY26_FE_Data_April15[Oct. 1, 2024 - Grades K-8])</f>
        <v>386971</v>
      </c>
      <c r="DR172" s="190">
        <f>SUMIF(FY26_FE_Data_April15[[Type]:[Type]],$D$172,FY26_FE_Data_April15[Oct. 1, 2024 - Grades 1-12])</f>
        <v>549811</v>
      </c>
      <c r="DS172" s="190">
        <f>SUMIF(FY26_FE_Data_April15[[Type]:[Type]],$D$172,FY26_FE_Data_April15[Oct. 1, 2024 - Grades K-12])</f>
        <v>586962</v>
      </c>
      <c r="DT172" s="190">
        <f>SUMIF(FY26_FE_Data_April15[[Type]:[Type]],$D$172,FY26_FE_Data_April15[Oct. 1, 2024 - Foreign Exchange])</f>
        <v>296</v>
      </c>
      <c r="DU172" s="190">
        <f>SUMIF(FY26_FE_Data_April15[[Type]:[Type]],$D$172,FY26_FE_Data_April15[Oct. 1, 2024 - Econ. Disadv.])</f>
        <v>170742</v>
      </c>
      <c r="DV172" s="190">
        <f>SUMIF(FY26_FE_Data_April15[[Type]:[Type]],$D$172,FY26_FE_Data_April15[Oct. 1, 2024 - SPED Resource])</f>
        <v>64446</v>
      </c>
      <c r="DW172" s="190">
        <f>SUMIF(FY26_FE_Data_April15[[Type]:[Type]],$D$172,FY26_FE_Data_April15[Oct. 1, 2024 - SPED Self-Contained])</f>
        <v>10842</v>
      </c>
      <c r="DX172" s="190">
        <f>SUMIF(FY26_FE_Data_April15[[Type]:[Type]],$D$172,FY26_FE_Data_April15[Oct. 1, 2024 - Total SPED])</f>
        <v>75288</v>
      </c>
      <c r="DY172" s="190">
        <f>SUMIF(FY26_FE_Data_April15[[Type]:[Type]],$D$172,FY26_FE_Data_April15[Oct. 1, 2024 - K12+SC])</f>
        <v>597804</v>
      </c>
      <c r="DZ172" s="190">
        <f>SUMIF(FY26_FE_Data_April15[[Type]:[Type]],$D$172,FY26_FE_Data_April15[Oct. 1, 2024 - LEP])</f>
        <v>53809</v>
      </c>
      <c r="EA172" s="190">
        <f>SUMIF(FY26_FE_Data_April15[[Type]:[Type]],$D$172,FY26_FE_Data_April15[ESA - All - FY25])</f>
        <v>33711.357349999998</v>
      </c>
      <c r="EB172" s="190">
        <f>SUMIF(FY26_FE_Data_April15[[Type]:[Type]],$D$172,FY26_FE_Data_April15[ESA - Educators Only - FY25])</f>
        <v>32067.714349999995</v>
      </c>
      <c r="EC172" s="190">
        <f>SUMIF(FY26_FE_Data_April15[[Type]:[Type]],$D$172,FY26_FE_Data_April15[TSM FTE - Elementary - FY25])</f>
        <v>13939.242000000002</v>
      </c>
      <c r="ED172" s="190">
        <f>SUMIF(FY26_FE_Data_April15[[Type]:[Type]],$D$172,FY26_FE_Data_April15[TSM FTE - Secondary - FY25])</f>
        <v>12652.265999999996</v>
      </c>
      <c r="EE172" s="190">
        <f>SUMIF(FY26_FE_Data_April15[[Type]:[Type]],$D$172,FY26_FE_Data_April15[TSM FTE - Reg. Pre-K - FY25])</f>
        <v>50.673000000000002</v>
      </c>
      <c r="EF172" s="190">
        <f>SUMIF(FY26_FE_Data_April15[[Type]:[Type]],$D$172,FY26_FE_Data_April15[Educ. Prof. Hrs. FTE - FY25])</f>
        <v>34284.084850000014</v>
      </c>
      <c r="EG172" s="190">
        <f>SUMIF(FY26_FE_Data_April15[[Type]:[Type]],$D$172,FY26_FE_Data_April15[ProStaff Ratios - FY24 YE])</f>
        <v>3.670019600493367</v>
      </c>
      <c r="EH172" s="190">
        <f>SUMIF(FY26_FE_Data_April15[[Type]:[Type]],$D$172,FY26_FE_Data_April15[Oct 1 2024 Counts - Online Students &gt;=180 Days in FY2024/Still Online on Oct 1])</f>
        <v>0</v>
      </c>
      <c r="EI172" s="190">
        <f>SUMIF(FY26_FE_Data_April15[[Type]:[Type]],$D$172,FY26_FE_Data_April15[Oct 1, 2025 (CDC) - K])</f>
        <v>36562</v>
      </c>
      <c r="EJ172" s="190">
        <f>SUMIF(FY26_FE_Data_April15[[Type]:[Type]],$D$172,FY26_FE_Data_April15[Oct 1, 2025 (CDC) - Grades 1-12])</f>
        <v>540949</v>
      </c>
      <c r="EK172" s="190">
        <f>SUMIF(FY26_FE_Data_April15[[Type]:[Type]],$D$172,FY26_FE_Data_April15[Oct 1, 2025 (CDC) - Grades 1-6])</f>
        <v>0</v>
      </c>
      <c r="EL172" s="190">
        <f>SUMIF(FY26_FE_Data_April15[[Type]:[Type]],$D$172,FY26_FE_Data_April15[Oct 1, 2025 (CDC) - Grades 7-8])</f>
        <v>0</v>
      </c>
      <c r="EM172" s="190">
        <f>SUMIF(FY26_FE_Data_April15[[Type]:[Type]],$D$172,FY26_FE_Data_April15[Oct 1, 2025 (CDC) - Grades 9-12])</f>
        <v>0</v>
      </c>
      <c r="EN172" s="190">
        <f>SUMIF(FY26_FE_Data_April15[[Type]:[Type]],$D$172,FY26_FE_Data_April15[Oct 1, 2025 (CDC) - Grades K-12])</f>
        <v>577511</v>
      </c>
      <c r="EO172" s="190">
        <f>SUMIF(FY26_FE_Data_April15[[Type]:[Type]],$D$172,FY26_FE_Data_April15[December 1, 2024 - SPED Pre-K 3-5 Count])</f>
        <v>7540</v>
      </c>
      <c r="EP172" s="190">
        <f>SUMIF(FY26_FE_Data_April15[[Type]:[Type]],$D$172,FY26_FE_Data_April15[December 1, 2024 - SPED K-12])</f>
        <v>75275</v>
      </c>
      <c r="EQ172" s="190">
        <f>SUMIF(FY26_FE_Data_April15[[Type]:[Type]],$D$172,FY26_FE_Data_April15[December 1, 2024 - SPED PreK-12 - All Ages])</f>
        <v>82816</v>
      </c>
      <c r="ER172" s="190">
        <f>SUMIF(FY26_FE_Data_April15[[Type]:[Type]],$D$172,FY26_FE_Data_April15[December 1, 2024 - SPED Resource])</f>
        <v>64283</v>
      </c>
      <c r="ES172" s="190">
        <f>SUMIF(FY26_FE_Data_April15[[Type]:[Type]],$D$172,FY26_FE_Data_April15[December 1, 2024 - SPED Self-Contained])</f>
        <v>10992</v>
      </c>
      <c r="ET172" s="190">
        <f>SUMIF(FY26_FE_Data_April15[[Type]:[Type]],$D$172,FY26_FE_Data_April15[FY24 ESY Count])</f>
        <v>3570</v>
      </c>
      <c r="EU172" s="190">
        <f>SUMIF(FY26_FE_Data_April15[[Type]:[Type]],$D$172,FY26_FE_Data_April15[FY24 Classified FTE: Instructional Paraprofessionals])</f>
        <v>10138.785</v>
      </c>
      <c r="EV172" s="190">
        <f>SUMIF(FY26_FE_Data_April15[[Type]:[Type]],$D$172,FY26_FE_Data_April15[FY24 Classified FTE: Library Paraprofessionals])</f>
        <v>571.52100000000007</v>
      </c>
      <c r="EW172" s="190">
        <f>SUMIF(FY26_FE_Data_April15[[Type]:[Type]],$D$172,FY26_FE_Data_April15[FY24 Classified FTE: School Support])</f>
        <v>2289.9879999999998</v>
      </c>
      <c r="EX172" s="190">
        <f>SUMIF(FY26_FE_Data_April15[[Type]:[Type]],$D$172,FY26_FE_Data_April15[FY24 Classified FTE: Student Support])</f>
        <v>1588.41</v>
      </c>
      <c r="EY172" s="190">
        <f>SUMIF(FY26_FE_Data_April15[[Type]:[Type]],$D$172,FY26_FE_Data_April15[FY24 Classified FTE: Other Support Staff])</f>
        <v>8547.4219999999987</v>
      </c>
      <c r="EZ172" s="190">
        <f>SUMIF(FY26_FE_Data_April15[[Type]:[Type]],$D$172,FY26_FE_Data_April15[FY24 Classified FTE: All Qualifying FTE])</f>
        <v>23136.126000000004</v>
      </c>
      <c r="FA172" s="190">
        <f>SUMIF(FY26_FE_Data_April15[[Type]:[Type]],$D$172,FY26_FE_Data_April15[FY25 ADM - Half Day K])</f>
        <v>2447.0444444444443</v>
      </c>
      <c r="FB172" s="190">
        <f>SUMIF(FY26_FE_Data_April15[[Type]:[Type]],$D$172,FY26_FE_Data_April15[FY25 ADM - Full Day K])</f>
        <v>33715.294444444451</v>
      </c>
      <c r="FC172" s="190">
        <f>SUMIF(FY26_FE_Data_April15[[Type]:[Type]],$D$172,FY26_FE_Data_April15[FY25 ADM - Total K])</f>
        <v>36162.338888888895</v>
      </c>
      <c r="FD172" s="190">
        <f>SUMIF(FY26_FE_Data_April15[[Type]:[Type]],$D$172,FY26_FE_Data_April15[FY25 ADM - Grade 1])</f>
        <v>37607.911111111112</v>
      </c>
      <c r="FE172" s="190">
        <f>SUMIF(FY26_FE_Data_April15[[Type]:[Type]],$D$172,FY26_FE_Data_April15[FY25 ADM - Grade 2])</f>
        <v>39733.255555555545</v>
      </c>
      <c r="FF172" s="190">
        <f>SUMIF(FY26_FE_Data_April15[[Type]:[Type]],$D$172,FY26_FE_Data_April15[FY25 ADM - Grade 3])</f>
        <v>42607.816666666673</v>
      </c>
      <c r="FG172" s="190">
        <f>SUMIF(FY26_FE_Data_April15[[Type]:[Type]],$D$172,FY26_FE_Data_April15[FY25 ADM - Grade 4])</f>
        <v>42785.433333333342</v>
      </c>
      <c r="FH172" s="190">
        <f>SUMIF(FY26_FE_Data_April15[[Type]:[Type]],$D$172,FY26_FE_Data_April15[FY25 ADM - Grade 5])</f>
        <v>43252.738888888896</v>
      </c>
      <c r="FI172" s="190">
        <f>SUMIF(FY26_FE_Data_April15[[Type]:[Type]],$D$172,FY26_FE_Data_April15[FY25 ADM - Grade 6])</f>
        <v>44335.205555555549</v>
      </c>
      <c r="FJ172" s="190">
        <f>SUMIF(FY26_FE_Data_April15[[Type]:[Type]],$D$172,FY26_FE_Data_April15[FY25 ADM - Grade 7])</f>
        <v>44469.69444444446</v>
      </c>
      <c r="FK172" s="190">
        <f>SUMIF(FY26_FE_Data_April15[[Type]:[Type]],$D$172,FY26_FE_Data_April15[FY25 ADM - Grade 8])</f>
        <v>45746.377777777772</v>
      </c>
      <c r="FL172" s="190">
        <f>SUMIF(FY26_FE_Data_April15[[Type]:[Type]],$D$172,FY26_FE_Data_April15[FY25 ADM - Grade 9])</f>
        <v>47370.28333333334</v>
      </c>
      <c r="FM172" s="190">
        <f>SUMIF(FY26_FE_Data_April15[[Type]:[Type]],$D$172,FY26_FE_Data_April15[FY25 ADM - Grade 10])</f>
        <v>48941.222222222234</v>
      </c>
      <c r="FN172" s="190">
        <f>SUMIF(FY26_FE_Data_April15[[Type]:[Type]],$D$172,FY26_FE_Data_April15[FY25 ADM - Grade 11])</f>
        <v>48933.500000000007</v>
      </c>
      <c r="FO172" s="190">
        <f>SUMIF(FY26_FE_Data_April15[[Type]:[Type]],$D$172,FY26_FE_Data_April15[FY25 ADM - Grade 12])</f>
        <v>43589.233333333337</v>
      </c>
      <c r="FP172" s="190">
        <f>SUMIF(FY26_FE_Data_April15[[Type]:[Type]],$D$172,FY26_FE_Data_April15[FY25 ADM - Grades 1-6])</f>
        <v>250322.36111111107</v>
      </c>
      <c r="FQ172" s="190">
        <f>SUMIF(FY26_FE_Data_April15[[Type]:[Type]],$D$172,FY26_FE_Data_April15[FY25 ADM - Grades 7-8])</f>
        <v>90216.07222222221</v>
      </c>
      <c r="FR172" s="190">
        <f>SUMIF(FY26_FE_Data_April15[[Type]:[Type]],$D$172,FY26_FE_Data_April15[FY25 ADM - Grades 9-12])</f>
        <v>188834.23888888885</v>
      </c>
      <c r="FS172" s="190">
        <f>SUMIF(FY26_FE_Data_April15[[Type]:[Type]],$D$172,FY26_FE_Data_April15[FY25 ADM - Grades K-8])</f>
        <v>376700.77222222218</v>
      </c>
      <c r="FT172" s="190">
        <f>SUMIF(FY26_FE_Data_April15[[Type]:[Type]],$D$172,FY26_FE_Data_April15[FY25 ADM - Grades 1-12])</f>
        <v>529372.6722222222</v>
      </c>
      <c r="FU172" s="190">
        <f>SUMIF(FY26_FE_Data_April15[[Type]:[Type]],$D$172,FY26_FE_Data_April15[FY25 ADM - Grades K-12])</f>
        <v>565535.01111111126</v>
      </c>
      <c r="FV172" s="190">
        <f>SUMIF(FY26_FE_Data_April15[[Type]:[Type]],$D$172,FY26_FE_Data_April15[FY25 ADM - SPED Resource])</f>
        <v>64445.016666666656</v>
      </c>
      <c r="FW172" s="190">
        <f>SUMIF(FY26_FE_Data_April15[[Type]:[Type]],$D$172,FY26_FE_Data_April15[FY25 ADM - SPED Self-Contained])</f>
        <v>11002.038888888888</v>
      </c>
      <c r="FX172" s="190">
        <f>SUMIF(FY26_FE_Data_April15[[Type]:[Type]],$D$172,FY26_FE_Data_April15[FY25 ADM - Total SPED])</f>
        <v>75447.055555555533</v>
      </c>
      <c r="FY172" s="190">
        <f>SUMIF(FY26_FE_Data_April15[[Type]:[Type]],$D$172,FY26_FE_Data_April15[FY25 ADM - K-12 + SC])</f>
        <v>576537.05000000005</v>
      </c>
      <c r="FZ172" s="191">
        <f>SUMIF(FY26_FE_Data_April15[[Type]:[Type]],$D$172,FY26_FE_Data_April15[Oct. 1, 2025 - HDK])</f>
        <v>2597</v>
      </c>
      <c r="GA172" s="191">
        <f>SUMIF(FY26_FE_Data_April15[[Type]:[Type]],$D$172,FY26_FE_Data_April15[Oct. 1, 2025 - FDK])</f>
        <v>32488</v>
      </c>
      <c r="GB172" s="191">
        <f>SUMIF(FY26_FE_Data_April15[[Type]:[Type]],$D$172,FY26_FE_Data_April15[Oct. 1, 2025 - Total K])</f>
        <v>35085</v>
      </c>
      <c r="GC172" s="191">
        <f>SUMIF(FY26_FE_Data_April15[[Type]:[Type]],$D$172,FY26_FE_Data_April15[Oct. 1, 2025 - Grade 1])</f>
        <v>37305</v>
      </c>
      <c r="GD172" s="191">
        <f>SUMIF(FY26_FE_Data_April15[[Type]:[Type]],$D$172,FY26_FE_Data_April15[Oct. 1, 2025 - Grade 2])</f>
        <v>38423</v>
      </c>
      <c r="GE172" s="191">
        <f>SUMIF(FY26_FE_Data_April15[[Type]:[Type]],$D$172,FY26_FE_Data_April15[Oct. 1, 2025 - Grade 3])</f>
        <v>40637</v>
      </c>
      <c r="GF172" s="191">
        <f>SUMIF(FY26_FE_Data_April15[[Type]:[Type]],$D$172,FY26_FE_Data_April15[Oct. 1, 2025 - Grade 4])</f>
        <v>43327</v>
      </c>
      <c r="GG172" s="191">
        <f>SUMIF(FY26_FE_Data_April15[[Type]:[Type]],$D$172,FY26_FE_Data_April15[Oct. 1, 2025 - Grade 5])</f>
        <v>43478</v>
      </c>
      <c r="GH172" s="191">
        <f>SUMIF(FY26_FE_Data_April15[[Type]:[Type]],$D$172,FY26_FE_Data_April15[Oct. 1, 2025 - Grade 6])</f>
        <v>44060</v>
      </c>
      <c r="GI172" s="191">
        <f>SUMIF(FY26_FE_Data_April15[[Type]:[Type]],$D$172,FY26_FE_Data_April15[Oct. 1, 2025 - Grade 7])</f>
        <v>46327</v>
      </c>
      <c r="GJ172" s="191">
        <f>SUMIF(FY26_FE_Data_April15[[Type]:[Type]],$D$172,FY26_FE_Data_April15[Oct. 1, 2025 - Grade 8])</f>
        <v>45782</v>
      </c>
      <c r="GK172" s="191">
        <f>SUMIF(FY26_FE_Data_April15[[Type]:[Type]],$D$172,FY26_FE_Data_April15[Oct. 1, 2025 - Grade 9])</f>
        <v>48156</v>
      </c>
      <c r="GL172" s="191">
        <f>SUMIF(FY26_FE_Data_April15[[Type]:[Type]],$D$172,FY26_FE_Data_April15[Oct. 1, 2025 - Grade 10])</f>
        <v>49451</v>
      </c>
      <c r="GM172" s="191">
        <f>SUMIF(FY26_FE_Data_April15[[Type]:[Type]],$D$172,FY26_FE_Data_April15[Oct. 1, 2025 - Grade 11])</f>
        <v>49699</v>
      </c>
      <c r="GN172" s="191">
        <f>SUMIF(FY26_FE_Data_April15[[Type]:[Type]],$D$172,FY26_FE_Data_April15[Oct. 1, 2025 - Grade 12])</f>
        <v>50277</v>
      </c>
      <c r="GO172" s="191">
        <f>SUMIF(FY26_FE_Data_April15[[Type]:[Type]],$D$172,FY26_FE_Data_April15[Oct. 1, 2025 - Grades 1-6])</f>
        <v>247230</v>
      </c>
      <c r="GP172" s="191">
        <f>SUMIF(FY26_FE_Data_April15[[Type]:[Type]],$D$172,FY26_FE_Data_April15[Oct. 1, 2025 - Grades 7-8])</f>
        <v>92109</v>
      </c>
      <c r="GQ172" s="191">
        <f>SUMIF(FY26_FE_Data_April15[[Type]:[Type]],$D$172,FY26_FE_Data_April15[Oct. 1, 2025 - Grades 9-12])</f>
        <v>197583</v>
      </c>
      <c r="GR172" s="191">
        <f>SUMIF(FY26_FE_Data_April15[[Type]:[Type]],$D$172,FY26_FE_Data_April15[Oct. 1, 2025 - Grades K-8])</f>
        <v>374424</v>
      </c>
      <c r="GS172" s="191">
        <f>SUMIF(FY26_FE_Data_April15[[Type]:[Type]],$D$172,FY26_FE_Data_April15[Oct. 1, 2025 - Grades 1-12])</f>
        <v>536922</v>
      </c>
      <c r="GT172" s="191">
        <f>SUMIF(FY26_FE_Data_April15[[Type]:[Type]],$D$172,FY26_FE_Data_April15[Oct. 1, 2025 - Grades K-12])</f>
        <v>572007</v>
      </c>
      <c r="GU172" s="191">
        <f>SUMIF(FY26_FE_Data_April15[[Type]:[Type]],$D$172,FY26_FE_Data_April15[Oct. 1, 2025 - Foreign Exchange])</f>
        <v>308</v>
      </c>
      <c r="GV172" s="191">
        <f>SUMIF(FY26_FE_Data_April15[[Type]:[Type]],$D$172,FY26_FE_Data_April15[Oct. 1, 2025 - Econ. Disadv.])</f>
        <v>162430</v>
      </c>
      <c r="GW172" s="191">
        <f>SUMIF(FY26_FE_Data_April15[[Type]:[Type]],$D$172,FY26_FE_Data_April15[Oct. 1, 2025 - SPED Resource])</f>
        <v>64814</v>
      </c>
      <c r="GX172" s="191">
        <f>SUMIF(FY26_FE_Data_April15[[Type]:[Type]],$D$172,FY26_FE_Data_April15[Oct. 1, 2025 - SPED Self-Contained])</f>
        <v>11301</v>
      </c>
      <c r="GY172" s="191">
        <f>SUMIF(FY26_FE_Data_April15[[Type]:[Type]],$D$172,FY26_FE_Data_April15[Oct. 1, 2025 - Total SPED])</f>
        <v>76115</v>
      </c>
      <c r="GZ172" s="191">
        <f>SUMIF(FY26_FE_Data_April15[[Type]:[Type]],$D$172,FY26_FE_Data_April15[Oct. 1, 2025 - K-12 +SC])</f>
        <v>583308</v>
      </c>
      <c r="HA172" s="191">
        <f>SUMIF(FY26_FE_Data_April15[[Type]:[Type]],$D$172,FY26_FE_Data_April15[Oct. 1, 2025 - LEP])</f>
        <v>50777</v>
      </c>
      <c r="HB172" s="190">
        <f>SUMIF(FY26_FE_Data_April15[[Type]:[Type]],$D$172,FY26_FE_Data_April15[ESA - All - FY26])</f>
        <v>33643.10886</v>
      </c>
      <c r="HC172" s="190">
        <f>SUMIF(FY26_FE_Data_April15[[Type]:[Type]],$D$172,FY26_FE_Data_April15[ESA - Educators Only - FY26])</f>
        <v>31935.867859999988</v>
      </c>
      <c r="HD172" s="190">
        <f>SUMIF(FY26_FE_Data_April15[[Type]:[Type]],$D$172,FY26_FE_Data_April15[TSM FTE - Elementary - FY26])</f>
        <v>13799.133999999996</v>
      </c>
      <c r="HE172" s="190">
        <f>SUMIF(FY26_FE_Data_April15[[Type]:[Type]],$D$172,FY26_FE_Data_April15[TSM FTE - Secondary - FY26])</f>
        <v>12627.296999999995</v>
      </c>
      <c r="HF172" s="190">
        <f>SUMIF(FY26_FE_Data_April15[[Type]:[Type]],$D$172,FY26_FE_Data_April15[TSM FTE - Reg. Pre-K - FY26])</f>
        <v>0</v>
      </c>
      <c r="HG172" s="190">
        <f>SUMIF(FY26_FE_Data_April15[[Type]:[Type]],$D$172,FY26_FE_Data_April15[Educ. Prof. Hrs. FTE - FY26])</f>
        <v>33975.972359999992</v>
      </c>
      <c r="HH172" s="190">
        <f>SUMIF(FY26_FE_Data_April15[[Type]:[Type]],$D$172,FY26_FE_Data_April15[December 1, 2025 - SPED Pre-K 3-5 Total])</f>
        <v>6896</v>
      </c>
      <c r="HI172" s="190">
        <f>SUMIF(FY26_FE_Data_April15[[Type]:[Type]],$D$172,FY26_FE_Data_April15[December 1, 2025 - SPED K-12])</f>
        <v>76103</v>
      </c>
      <c r="HJ172" s="190">
        <f>SUMIF(FY26_FE_Data_April15[[Type]:[Type]],$D$172,FY26_FE_Data_April15[December 1, 2025 - SPED PreK-12 - All Ages])</f>
        <v>82999</v>
      </c>
      <c r="HK172" s="190">
        <f>SUMIF(FY26_FE_Data_April15[[Type]:[Type]],$D$172,FY26_FE_Data_April15[December 1, 2025 - SPED Resource])</f>
        <v>64702</v>
      </c>
      <c r="HL172" s="190">
        <f>SUMIF(FY26_FE_Data_April15[[Type]:[Type]],$D$172,FY26_FE_Data_April15[December 1, 2025 - SPED Self-Contained])</f>
        <v>11401</v>
      </c>
      <c r="HN172" s="190">
        <f>SUMIF(FY26_FE_Data_April15[[Type]:[Type]],$D$172,FY26_FE_Data_April15[Oct 1, 2026 (CDC) - K])</f>
        <v>34049</v>
      </c>
      <c r="HO172" s="190">
        <f>SUMIF(FY26_FE_Data_April15[[Type]:[Type]],$D$172,FY26_FE_Data_April15[Oct 1, 2026 (CDC) - Grades 1-12])</f>
        <v>520944</v>
      </c>
      <c r="HP172" s="190">
        <f>SUMIF(FY26_FE_Data_April15[[Type]:[Type]],$D$172,FY26_FE_Data_April15[Oct 1, 2026 (CDC) - Grades 1-6])</f>
        <v>0</v>
      </c>
      <c r="HQ172" s="190">
        <f>SUMIF(FY26_FE_Data_April15[[Type]:[Type]],$D$172,FY26_FE_Data_April15[Oct 1, 2026 (CDC) - Grades 7-8])</f>
        <v>0</v>
      </c>
      <c r="HR172" s="190">
        <f>SUMIF(FY26_FE_Data_April15[[Type]:[Type]],$D$172,FY26_FE_Data_April15[Oct 1, 2026 (CDC) - Grades 9-12])</f>
        <v>0</v>
      </c>
      <c r="HS172" s="190">
        <f>SUMIF(FY26_FE_Data_April15[[Type]:[Type]],$D$172,FY26_FE_Data_April15[Oct 1, 2026 (CDC) - Grades K-12])</f>
        <v>554993</v>
      </c>
      <c r="HT172" s="190">
        <f>SUMIF(FY26_FE_Data_April15[[Type]:[Type]],$D$172,FY26_FE_Data_April15[Oct 1, 2026 (CDC) - Grades K-8])</f>
        <v>34049</v>
      </c>
      <c r="HU172" s="190">
        <f>SUMIF(FY26_FE_Data_April15[[Type]:[Type]],$D$172,FY26_FE_Data_April15[FY25 ADM - Online Students - Online All 180 Days])</f>
        <v>17799.905551</v>
      </c>
    </row>
    <row r="173" spans="1:233" s="182" customFormat="1">
      <c r="A173" s="189"/>
      <c r="B173" s="189"/>
      <c r="D173" s="182" t="s">
        <v>364</v>
      </c>
      <c r="H173" s="182">
        <f>SUMIF(FY26_FE_Data_April15[[Type]:[Type]],$D$173,FY26_FE_Data_April15[FY22ADM - SPED Resource])</f>
        <v>0</v>
      </c>
      <c r="I173" s="182">
        <f>SUMIF(FY26_FE_Data_April15[[Type]:[Type]],$D$173,FY26_FE_Data_April15[FY22ADM - SPED Self-Contained])</f>
        <v>182.65</v>
      </c>
      <c r="J173" s="182">
        <f>SUMIF(FY26_FE_Data_April15[[Type]:[Type]],$D$173,FY26_FE_Data_April15[FY22 ADM - Total SPED])</f>
        <v>182.65</v>
      </c>
      <c r="K173" s="182">
        <f>SUMIF(FY26_FE_Data_April15[[Type]:[Type]],$D$173,FY26_FE_Data_April15[Oct 1, 2022 - K])</f>
        <v>30</v>
      </c>
      <c r="L173" s="182">
        <f>SUMIF(FY26_FE_Data_April15[[Type]:[Type]],$D$173,FY26_FE_Data_April15[Oct 1, 2022 - Grades 1-6])</f>
        <v>93</v>
      </c>
      <c r="M173" s="182">
        <f>SUMIF(FY26_FE_Data_April15[[Type]:[Type]],$D$173,FY26_FE_Data_April15[Oct 1, 2022 - Grades 7-8])</f>
        <v>16</v>
      </c>
      <c r="N173" s="182">
        <f>SUMIF(FY26_FE_Data_April15[[Type]:[Type]],$D$173,FY26_FE_Data_April15[Oct 1, 2022 - Grades 9-12])</f>
        <v>47</v>
      </c>
      <c r="O173" s="182">
        <f>SUMIF(FY26_FE_Data_April15[[Type]:[Type]],$D$173,FY26_FE_Data_April15[Oct 1, 2022 - Grades K-12])</f>
        <v>186</v>
      </c>
      <c r="P173" s="182">
        <f>SUMIF(FY26_FE_Data_April15[[Type]:[Type]],$D$173,FY26_FE_Data_April15[Oct 1, 2022 - Grades 1-12])</f>
        <v>156</v>
      </c>
      <c r="Q173" s="182">
        <f>SUMIF(FY26_FE_Data_April15[[Type]:[Type]],$D$173,FY26_FE_Data_April15[Oct 1, 2022 - Grades K-8])</f>
        <v>139</v>
      </c>
      <c r="R173" s="182">
        <f>SUMIF(FY26_FE_Data_April15[[Type]:[Type]],$D$173,FY26_FE_Data_April15[Oct 1, 2022 - Self-Contained])</f>
        <v>174</v>
      </c>
      <c r="S173" s="182">
        <f>SUMIF(FY26_FE_Data_April15[[Type]:[Type]],$D$173,FY26_FE_Data_April15[FY23 ADM - K])</f>
        <v>3.2888888888888888</v>
      </c>
      <c r="T173" s="182">
        <f>SUMIF(FY26_FE_Data_April15[[Type]:[Type]],$D$173,FY26_FE_Data_April15[FY23 ADM - Grade 1])</f>
        <v>0.31666666666666665</v>
      </c>
      <c r="U173" s="182">
        <f>SUMIF(FY26_FE_Data_April15[[Type]:[Type]],$D$173,FY26_FE_Data_April15[FY23 ADM - Grade 2])</f>
        <v>1.6277777777777778</v>
      </c>
      <c r="V173" s="182">
        <f>SUMIF(FY26_FE_Data_April15[[Type]:[Type]],$D$173,FY26_FE_Data_April15[FY23 ADM - Grade 3])</f>
        <v>5.5555555555555558E-3</v>
      </c>
      <c r="W173" s="182">
        <f>SUMIF(FY26_FE_Data_April15[[Type]:[Type]],$D$173,FY26_FE_Data_April15[FY23 ADM - Grade 4])</f>
        <v>0.11666666666666667</v>
      </c>
      <c r="X173" s="182">
        <f>SUMIF(FY26_FE_Data_April15[[Type]:[Type]],$D$173,FY26_FE_Data_April15[FY23 ADM - Grade 5])</f>
        <v>2.3222222222222224</v>
      </c>
      <c r="Y173" s="182">
        <f>SUMIF(FY26_FE_Data_April15[[Type]:[Type]],$D$173,FY26_FE_Data_April15[FY23 ADM - Grade 6])</f>
        <v>1.4166666666666667</v>
      </c>
      <c r="Z173" s="182">
        <f>SUMIF(FY26_FE_Data_April15[[Type]:[Type]],$D$173,FY26_FE_Data_April15[FY23 ADM - Grade 7])</f>
        <v>1.1111111111111112E-2</v>
      </c>
      <c r="AA173" s="182">
        <f>SUMIF(FY26_FE_Data_April15[[Type]:[Type]],$D$173,FY26_FE_Data_April15[FY23 ADM - Grade 8])</f>
        <v>0</v>
      </c>
      <c r="AB173" s="182">
        <f>SUMIF(FY26_FE_Data_April15[[Type]:[Type]],$D$173,FY26_FE_Data_April15[FY23 ADM - Grade 9])</f>
        <v>3.3333333333333333E-2</v>
      </c>
      <c r="AC173" s="182">
        <f>SUMIF(FY26_FE_Data_April15[[Type]:[Type]],$D$173,FY26_FE_Data_April15[FY23 ADM - Grade 10])</f>
        <v>2.0444444444444443</v>
      </c>
      <c r="AD173" s="182">
        <f>SUMIF(FY26_FE_Data_April15[[Type]:[Type]],$D$173,FY26_FE_Data_April15[FY23 ADM - Grade 11])</f>
        <v>7.7777777777777779E-2</v>
      </c>
      <c r="AE173" s="182">
        <f>SUMIF(FY26_FE_Data_April15[[Type]:[Type]],$D$173,FY26_FE_Data_April15[FY23 ADM - Grade 12])</f>
        <v>0</v>
      </c>
      <c r="AF173" s="182">
        <f>SUMIF(FY26_FE_Data_April15[[Type]:[Type]],$D$173,FY26_FE_Data_April15[FY23 ADM - Grades 1-6])</f>
        <v>5.8055555555555562</v>
      </c>
      <c r="AG173" s="182">
        <f>SUMIF(FY26_FE_Data_April15[[Type]:[Type]],$D$173,FY26_FE_Data_April15[FY23 ADM - Grades 7-8])</f>
        <v>1.1111111111111112E-2</v>
      </c>
      <c r="AH173" s="182">
        <f>SUMIF(FY26_FE_Data_April15[[Type]:[Type]],$D$173,FY26_FE_Data_April15[FY23 ADM - Grades 9-12])</f>
        <v>2.1555555555555554</v>
      </c>
      <c r="AI173" s="182">
        <f>SUMIF(FY26_FE_Data_April15[[Type]:[Type]],$D$173,FY26_FE_Data_April15[FY23 ADM - Grades K-8])</f>
        <v>9.1055555555555543</v>
      </c>
      <c r="AJ173" s="182">
        <f>SUMIF(FY26_FE_Data_April15[[Type]:[Type]],$D$173,FY26_FE_Data_April15[FY23 ADM - Grades 1-12])</f>
        <v>7.9722222222222223</v>
      </c>
      <c r="AK173" s="182">
        <f>SUMIF(FY26_FE_Data_April15[[Type]:[Type]],$D$173,FY26_FE_Data_April15[FY23 ADM - Grades K-12])</f>
        <v>11.261111111111109</v>
      </c>
      <c r="AL173" s="182">
        <f>SUMIF(FY26_FE_Data_April15[[Type]:[Type]],$D$173,FY26_FE_Data_April15[FY23 ADM - SPED Resource])</f>
        <v>0</v>
      </c>
      <c r="AM173" s="182">
        <f>SUMIF(FY26_FE_Data_April15[[Type]:[Type]],$D$173,FY26_FE_Data_April15[FY23 ADM - SPED Self-Contained])</f>
        <v>172.96666666666667</v>
      </c>
      <c r="AN173" s="182">
        <f>SUMIF(FY26_FE_Data_April15[[Type]:[Type]],$D$173,FY26_FE_Data_April15[FY23 ADM - Total SPED])</f>
        <v>172.96666666666667</v>
      </c>
      <c r="AO173" s="182">
        <f>SUMIF(FY26_FE_Data_April15[[Type]:[Type]],$D$173,FY26_FE_Data_April15[FY23 ADM - K-12 + SC])</f>
        <v>184.22777777777779</v>
      </c>
      <c r="AP173" s="182">
        <f>SUMIF(FY26_FE_Data_April15[[Type]:[Type]],$D$173,FY26_FE_Data_April15[Oct. 1, 2023 - K])</f>
        <v>33</v>
      </c>
      <c r="AQ173" s="182">
        <f>SUMIF(FY26_FE_Data_April15[[Type]:[Type]],$D$173,FY26_FE_Data_April15[Oct. 1, 2023 - Grade 1])</f>
        <v>27</v>
      </c>
      <c r="AR173" s="182">
        <f>SUMIF(FY26_FE_Data_April15[[Type]:[Type]],$D$173,FY26_FE_Data_April15[Oct. 1, 2023 - Grade 2])</f>
        <v>21</v>
      </c>
      <c r="AS173" s="182">
        <f>SUMIF(FY26_FE_Data_April15[[Type]:[Type]],$D$173,FY26_FE_Data_April15[Oct. 1, 2023 - Grade 3])</f>
        <v>17</v>
      </c>
      <c r="AT173" s="182">
        <f>SUMIF(FY26_FE_Data_April15[[Type]:[Type]],$D$173,FY26_FE_Data_April15[Oct. 1, 2023 - Grade 4])</f>
        <v>13</v>
      </c>
      <c r="AU173" s="182">
        <f>SUMIF(FY26_FE_Data_April15[[Type]:[Type]],$D$173,FY26_FE_Data_April15[Oct. 1, 2023 - Grade 5])</f>
        <v>15</v>
      </c>
      <c r="AV173" s="182">
        <f>SUMIF(FY26_FE_Data_April15[[Type]:[Type]],$D$173,FY26_FE_Data_April15[Oct. 1, 2023 - Grade 6])</f>
        <v>14</v>
      </c>
      <c r="AW173" s="182">
        <f>SUMIF(FY26_FE_Data_April15[[Type]:[Type]],$D$173,FY26_FE_Data_April15[Oct. 1, 2023 - Grade 7])</f>
        <v>5</v>
      </c>
      <c r="AX173" s="182">
        <f>SUMIF(FY26_FE_Data_April15[[Type]:[Type]],$D$173,FY26_FE_Data_April15[Oct. 1, 2023 - Grade 8])</f>
        <v>7</v>
      </c>
      <c r="AY173" s="182">
        <f>SUMIF(FY26_FE_Data_April15[[Type]:[Type]],$D$173,FY26_FE_Data_April15[Oct. 1, 2023 - Grade 9])</f>
        <v>9</v>
      </c>
      <c r="AZ173" s="182">
        <f>SUMIF(FY26_FE_Data_April15[[Type]:[Type]],$D$173,FY26_FE_Data_April15[Oct. 1, 2023 - Grade 10])</f>
        <v>12</v>
      </c>
      <c r="BA173" s="182">
        <f>SUMIF(FY26_FE_Data_April15[[Type]:[Type]],$D$173,FY26_FE_Data_April15[Oct. 1, 2023 - Grade 11])</f>
        <v>13</v>
      </c>
      <c r="BB173" s="182">
        <f>SUMIF(FY26_FE_Data_April15[[Type]:[Type]],$D$173,FY26_FE_Data_April15[Oct. 1, 2023 - Grade 12])</f>
        <v>10</v>
      </c>
      <c r="BC173" s="182">
        <f>SUMIF(FY26_FE_Data_April15[[Type]:[Type]],$D$173,FY26_FE_Data_April15[Oct. 1, 2023 - Grades 1-6])</f>
        <v>107</v>
      </c>
      <c r="BD173" s="182">
        <f>SUMIF(FY26_FE_Data_April15[[Type]:[Type]],$D$173,FY26_FE_Data_April15[Oct. 1, 2023 - Grades 7-8])</f>
        <v>12</v>
      </c>
      <c r="BE173" s="182">
        <f>SUMIF(FY26_FE_Data_April15[[Type]:[Type]],$D$173,FY26_FE_Data_April15[Oct. 1, 2023 - Grades 9-12])</f>
        <v>44</v>
      </c>
      <c r="BF173" s="182">
        <f>SUMIF(FY26_FE_Data_April15[[Type]:[Type]],$D$173,FY26_FE_Data_April15[Oct. 1, 2023 - Grades K-8])</f>
        <v>152</v>
      </c>
      <c r="BG173" s="182">
        <f>SUMIF(FY26_FE_Data_April15[[Type]:[Type]],$D$173,FY26_FE_Data_April15[Oct. 1, 2023 - Grades 1-12])</f>
        <v>163</v>
      </c>
      <c r="BH173" s="182">
        <f>SUMIF(FY26_FE_Data_April15[[Type]:[Type]],$D$173,FY26_FE_Data_April15[Oct. 1, 2023 - Grades K-12])</f>
        <v>196</v>
      </c>
      <c r="BI173" s="182">
        <f>SUMIF(FY26_FE_Data_April15[[Type]:[Type]],$D$173,FY26_FE_Data_April15[Oct. 1, 2023 - FDK Counts])</f>
        <v>33</v>
      </c>
      <c r="BJ173" s="182">
        <f>SUMIF(FY26_FE_Data_April15[[Type]:[Type]],$D$173,FY26_FE_Data_April15[Oct. 1, 2023 - HDK Counts])</f>
        <v>0</v>
      </c>
      <c r="BK173" s="182">
        <f>SUMIF(FY26_FE_Data_April15[[Type]:[Type]],$D$173,FY26_FE_Data_April15[Oct. 1, 2023 - Foreign Exchange])</f>
        <v>0</v>
      </c>
      <c r="BL173" s="182">
        <f>SUMIF(FY26_FE_Data_April15[[Type]:[Type]],$D$173,FY26_FE_Data_April15[Oct. 1, 2023 - Econ. Disadv.])</f>
        <v>68</v>
      </c>
      <c r="BM173" s="182">
        <f>SUMIF(FY26_FE_Data_April15[[Type]:[Type]],$D$173,FY26_FE_Data_April15[Oct. 1, 2023 - SPED Resource])</f>
        <v>0</v>
      </c>
      <c r="BN173" s="182">
        <f>SUMIF(FY26_FE_Data_April15[[Type]:[Type]],$D$173,FY26_FE_Data_April15[Oct. 1, 2023 - SPED Self-Contained])</f>
        <v>178</v>
      </c>
      <c r="BO173" s="182">
        <f>SUMIF(FY26_FE_Data_April15[[Type]:[Type]],$D$173,FY26_FE_Data_April15[Oct. 1, 2023 - Total SPED])</f>
        <v>178</v>
      </c>
      <c r="BP173" s="182">
        <f>SUMIF(FY26_FE_Data_April15[[Type]:[Type]],$D$173,FY26_FE_Data_April15[Oct. 1, 2023 - LEP])</f>
        <v>0</v>
      </c>
      <c r="BQ173" s="182">
        <f>SUMIF(FY26_FE_Data_April15[[Type]:[Type]],$D$173,FY26_FE_Data_April15[Prostaff Ratios])</f>
        <v>0.10238701364007774</v>
      </c>
      <c r="BR173" s="182">
        <f>SUMIF(FY26_FE_Data_April15[[Type]:[Type]],$D$173,FY26_FE_Data_April15[ESA - All - FY24])</f>
        <v>191.28900000000004</v>
      </c>
      <c r="BS173" s="182">
        <f>SUMIF(FY26_FE_Data_April15[[Type]:[Type]],$D$173,FY26_FE_Data_April15[ESA - Educators Only - FY24])</f>
        <v>186.33000000000004</v>
      </c>
      <c r="BT173" s="182">
        <f>SUMIF(FY26_FE_Data_April15[[Type]:[Type]],$D$173,FY26_FE_Data_April15[TSM FTE - FY24])</f>
        <v>165.62</v>
      </c>
      <c r="BU173" s="182">
        <f>SUMIF(FY26_FE_Data_April15[[Type]:[Type]],$D$173,FY26_FE_Data_April15[Educ. Prof. Hrs. FTE - FY24])</f>
        <v>194.28900000000002</v>
      </c>
      <c r="BV173" s="182">
        <f>SUMIF(FY26_FE_Data_April15[[Type]:[Type]],$D$173,FY26_FE_Data_April15[Oct 1 2020 Counts - Online Students &gt;180 Days ])</f>
        <v>0</v>
      </c>
      <c r="BW173" s="182">
        <f>SUMIF(FY26_FE_Data_April15[[Type]:[Type]],$D$173,FY26_FE_Data_April15[Oct 1 2023 Counts - Online Students &gt;180 Days in FY2023/Still Online on Oct 1])</f>
        <v>0</v>
      </c>
      <c r="BX173" s="182">
        <f>SUMIF(FY26_FE_Data_April15[[Type]:[Type]],$D$173,FY26_FE_Data_April15[FY23 ADM - Online Students &gt;180 Days ])</f>
        <v>0</v>
      </c>
      <c r="BY173" s="182">
        <f>SUMIF(FY26_FE_Data_April15[[Type]:[Type]],$D$173,FY26_FE_Data_April15[FY24 ADM - Half Day K])</f>
        <v>0</v>
      </c>
      <c r="BZ173" s="182">
        <f>SUMIF(FY26_FE_Data_April15[[Type]:[Type]],$D$173,FY26_FE_Data_April15[FY24 ADM - Full Day K])</f>
        <v>4.8666660000000004</v>
      </c>
      <c r="CA173" s="182">
        <f>SUMIF(FY26_FE_Data_April15[[Type]:[Type]],$D$173,FY26_FE_Data_April15[FY24 ADM - Total K])</f>
        <v>4.8666666666666663</v>
      </c>
      <c r="CB173" s="182">
        <f>SUMIF(FY26_FE_Data_April15[[Type]:[Type]],$D$173,FY26_FE_Data_April15[FY24 ADM - Grade 1])</f>
        <v>2.3722222222222222</v>
      </c>
      <c r="CC173" s="182">
        <f>SUMIF(FY26_FE_Data_April15[[Type]:[Type]],$D$173,FY26_FE_Data_April15[FY24 ADM - Grade 2])</f>
        <v>1.0277777777777777</v>
      </c>
      <c r="CD173" s="182">
        <f>SUMIF(FY26_FE_Data_April15[[Type]:[Type]],$D$173,FY26_FE_Data_April15[FY24 ADM - Grade 3])</f>
        <v>3.2222222222222223</v>
      </c>
      <c r="CE173" s="182">
        <f>SUMIF(FY26_FE_Data_April15[[Type]:[Type]],$D$173,FY26_FE_Data_April15[FY24 ADM - Grade 4])</f>
        <v>0.17222222222222222</v>
      </c>
      <c r="CF173" s="182">
        <f>SUMIF(FY26_FE_Data_April15[[Type]:[Type]],$D$173,FY26_FE_Data_April15[FY24 ADM - Grade 5])</f>
        <v>1.05</v>
      </c>
      <c r="CG173" s="182">
        <f>SUMIF(FY26_FE_Data_April15[[Type]:[Type]],$D$173,FY26_FE_Data_April15[FY24 ADM - Grade 6])</f>
        <v>2</v>
      </c>
      <c r="CH173" s="182">
        <f>SUMIF(FY26_FE_Data_April15[[Type]:[Type]],$D$173,FY26_FE_Data_April15[FY24 ADM - Grade 7])</f>
        <v>0</v>
      </c>
      <c r="CI173" s="182">
        <f>SUMIF(FY26_FE_Data_April15[[Type]:[Type]],$D$173,FY26_FE_Data_April15[FY24 ADM - Grade 8])</f>
        <v>2.7777777777777776E-2</v>
      </c>
      <c r="CJ173" s="182">
        <f>SUMIF(FY26_FE_Data_April15[[Type]:[Type]],$D$173,FY26_FE_Data_April15[FY24 ADM - Grade 9])</f>
        <v>0</v>
      </c>
      <c r="CK173" s="182">
        <f>SUMIF(FY26_FE_Data_April15[[Type]:[Type]],$D$173,FY26_FE_Data_April15[FY24 ADM - Grade 10])</f>
        <v>2.2222222222222223E-2</v>
      </c>
      <c r="CL173" s="182">
        <f>SUMIF(FY26_FE_Data_April15[[Type]:[Type]],$D$173,FY26_FE_Data_April15[FY24 ADM - Grade 11])</f>
        <v>2</v>
      </c>
      <c r="CM173" s="182">
        <f>SUMIF(FY26_FE_Data_April15[[Type]:[Type]],$D$173,FY26_FE_Data_April15[FY24 ADM - Grade 12])</f>
        <v>5.5555555555555558E-3</v>
      </c>
      <c r="CN173" s="182">
        <f>SUMIF(FY26_FE_Data_April15[[Type]:[Type]],$D$173,FY26_FE_Data_April15[FY24 ADM - Grades 1-6])</f>
        <v>9.844444444444445</v>
      </c>
      <c r="CO173" s="182">
        <f>SUMIF(FY26_FE_Data_April15[[Type]:[Type]],$D$173,FY26_FE_Data_April15[FY24 ADM - Grades 7-8])</f>
        <v>2.7777777777777776E-2</v>
      </c>
      <c r="CP173" s="182">
        <f>SUMIF(FY26_FE_Data_April15[[Type]:[Type]],$D$173,FY26_FE_Data_April15[FY24 ADM - Grades 9-12])</f>
        <v>2.0277777777777777</v>
      </c>
      <c r="CQ173" s="182">
        <f>SUMIF(FY26_FE_Data_April15[[Type]:[Type]],$D$173,FY26_FE_Data_April15[FY24 ADM - Grades K-8])</f>
        <v>14.738888888888889</v>
      </c>
      <c r="CR173" s="182">
        <f>SUMIF(FY26_FE_Data_April15[[Type]:[Type]],$D$173,FY26_FE_Data_April15[FY24 ADM - Grades 1-12])</f>
        <v>11.900000000000002</v>
      </c>
      <c r="CS173" s="182">
        <f>SUMIF(FY26_FE_Data_April15[[Type]:[Type]],$D$173,FY26_FE_Data_April15[FY24 ADM - Grades K-12])</f>
        <v>16.766666666666669</v>
      </c>
      <c r="CT173" s="182">
        <f>SUMIF(FY26_FE_Data_April15[[Type]:[Type]],$D$173,FY26_FE_Data_April15[FY24 ADM - SPED Resource])</f>
        <v>0</v>
      </c>
      <c r="CU173" s="182">
        <f>SUMIF(FY26_FE_Data_April15[[Type]:[Type]],$D$173,FY26_FE_Data_April15[FY24 ADM - SPED Self-Contained])</f>
        <v>179.544444444444</v>
      </c>
      <c r="CV173" s="182">
        <f>SUMIF(FY26_FE_Data_April15[[Type]:[Type]],$D$173,FY26_FE_Data_April15[FY24 ADM - Total SPED])</f>
        <v>179.544444444444</v>
      </c>
      <c r="CW173" s="182">
        <f>SUMIF(FY26_FE_Data_April15[[Type]:[Type]],$D$173,FY26_FE_Data_April15[FY24 ADM - K-12 + SC])</f>
        <v>196.31111111111068</v>
      </c>
      <c r="CX173" s="182">
        <f>SUMIF(FY26_FE_Data_April15[[Type]:[Type]],$D$173,FY26_FE_Data_April15[FY24 ADM - Online Students - Online All 180 Days])</f>
        <v>0</v>
      </c>
      <c r="CY173" s="182">
        <f>SUMIF(FY26_FE_Data_April15[[Type]:[Type]],$D$173,FY26_FE_Data_April15[Oct. 1, 2024 - FDK])</f>
        <v>0</v>
      </c>
      <c r="CZ173" s="182">
        <f>SUMIF(FY26_FE_Data_April15[[Type]:[Type]],$D$173,FY26_FE_Data_April15[Oct. 1, 2024 - HDK])</f>
        <v>0</v>
      </c>
      <c r="DA173" s="182">
        <f>SUMIF(FY26_FE_Data_April15[[Type]:[Type]],$D$173,FY26_FE_Data_April15[Oct. 1, 2024 - Total K])</f>
        <v>0</v>
      </c>
      <c r="DB173" s="182">
        <f>SUMIF(FY26_FE_Data_April15[[Type]:[Type]],$D$173,FY26_FE_Data_April15[Oct. 1, 2024 - Grade 1])</f>
        <v>0</v>
      </c>
      <c r="DC173" s="182">
        <f>SUMIF(FY26_FE_Data_April15[[Type]:[Type]],$D$173,FY26_FE_Data_April15[Oct. 1, 2024 - Grade 2])</f>
        <v>0</v>
      </c>
      <c r="DD173" s="182">
        <f>SUMIF(FY26_FE_Data_April15[[Type]:[Type]],$D$173,FY26_FE_Data_April15[Oct. 1, 2024 - Grade 3])</f>
        <v>0</v>
      </c>
      <c r="DE173" s="182">
        <f>SUMIF(FY26_FE_Data_April15[[Type]:[Type]],$D$173,FY26_FE_Data_April15[Oct. 1, 2024 - Grade 4])</f>
        <v>0</v>
      </c>
      <c r="DF173" s="182">
        <f>SUMIF(FY26_FE_Data_April15[[Type]:[Type]],$D$173,FY26_FE_Data_April15[Oct. 1, 2024 - Grade 5])</f>
        <v>0</v>
      </c>
      <c r="DG173" s="182">
        <f>SUMIF(FY26_FE_Data_April15[[Type]:[Type]],$D$173,FY26_FE_Data_April15[Oct. 1, 2024 - Grade 6])</f>
        <v>0</v>
      </c>
      <c r="DH173" s="182">
        <f>SUMIF(FY26_FE_Data_April15[[Type]:[Type]],$D$173,FY26_FE_Data_April15[Oct. 1, 2024 - Grade 7])</f>
        <v>0</v>
      </c>
      <c r="DI173" s="182">
        <f>SUMIF(FY26_FE_Data_April15[[Type]:[Type]],$D$173,FY26_FE_Data_April15[Oct. 1, 2024 - Grade 8])</f>
        <v>0</v>
      </c>
      <c r="DJ173" s="182">
        <f>SUMIF(FY26_FE_Data_April15[[Type]:[Type]],$D$173,FY26_FE_Data_April15[Oct. 1, 2024 - Grade 9])</f>
        <v>0</v>
      </c>
      <c r="DK173" s="182">
        <f>SUMIF(FY26_FE_Data_April15[[Type]:[Type]],$D$173,FY26_FE_Data_April15[Oct. 1, 2024 - Grade 10])</f>
        <v>0</v>
      </c>
      <c r="DL173" s="182">
        <f>SUMIF(FY26_FE_Data_April15[[Type]:[Type]],$D$173,FY26_FE_Data_April15[Oct. 1, 2024 - Grade 11])</f>
        <v>0</v>
      </c>
      <c r="DM173" s="182">
        <f>SUMIF(FY26_FE_Data_April15[[Type]:[Type]],$D$173,FY26_FE_Data_April15[Oct. 1, 2024 - Grade 12])</f>
        <v>0</v>
      </c>
      <c r="DN173" s="182">
        <f>SUMIF(FY26_FE_Data_April15[[Type]:[Type]],$D$173,FY26_FE_Data_April15[Oct. 1, 2024 - Grades 1-6])</f>
        <v>0</v>
      </c>
      <c r="DO173" s="182">
        <f>SUMIF(FY26_FE_Data_April15[[Type]:[Type]],$D$173,FY26_FE_Data_April15[Oct. 1, 2024 - Grades 7-8])</f>
        <v>0</v>
      </c>
      <c r="DP173" s="182">
        <f>SUMIF(FY26_FE_Data_April15[[Type]:[Type]],$D$173,FY26_FE_Data_April15[Oct. 1, 2024 - Grades 9-12])</f>
        <v>0</v>
      </c>
      <c r="DQ173" s="182">
        <f>SUMIF(FY26_FE_Data_April15[[Type]:[Type]],$D$173,FY26_FE_Data_April15[Oct. 1, 2024 - Grades K-8])</f>
        <v>0</v>
      </c>
      <c r="DR173" s="182">
        <f>SUMIF(FY26_FE_Data_April15[[Type]:[Type]],$D$173,FY26_FE_Data_April15[Oct. 1, 2024 - Grades 1-12])</f>
        <v>0</v>
      </c>
      <c r="DS173" s="182">
        <f>SUMIF(FY26_FE_Data_April15[[Type]:[Type]],$D$173,FY26_FE_Data_April15[Oct. 1, 2024 - Grades K-12])</f>
        <v>0</v>
      </c>
      <c r="DT173" s="182">
        <f>SUMIF(FY26_FE_Data_April15[[Type]:[Type]],$D$173,FY26_FE_Data_April15[Oct. 1, 2024 - Foreign Exchange])</f>
        <v>0</v>
      </c>
      <c r="DU173" s="182">
        <f>SUMIF(FY26_FE_Data_April15[[Type]:[Type]],$D$173,FY26_FE_Data_April15[Oct. 1, 2024 - Econ. Disadv.])</f>
        <v>0</v>
      </c>
      <c r="DV173" s="182">
        <f>SUMIF(FY26_FE_Data_April15[[Type]:[Type]],$D$173,FY26_FE_Data_April15[Oct. 1, 2024 - SPED Resource])</f>
        <v>0</v>
      </c>
      <c r="DW173" s="182">
        <f>SUMIF(FY26_FE_Data_April15[[Type]:[Type]],$D$173,FY26_FE_Data_April15[Oct. 1, 2024 - SPED Self-Contained])</f>
        <v>0</v>
      </c>
      <c r="DX173" s="182">
        <f>SUMIF(FY26_FE_Data_April15[[Type]:[Type]],$D$173,FY26_FE_Data_April15[Oct. 1, 2024 - Total SPED])</f>
        <v>0</v>
      </c>
      <c r="DY173" s="182">
        <f>SUMIF(FY26_FE_Data_April15[[Type]:[Type]],$D$173,FY26_FE_Data_April15[Oct. 1, 2024 - K12+SC])</f>
        <v>0</v>
      </c>
      <c r="DZ173" s="182">
        <f>SUMIF(FY26_FE_Data_April15[[Type]:[Type]],$D$173,FY26_FE_Data_April15[Oct. 1, 2024 - LEP])</f>
        <v>0</v>
      </c>
      <c r="EA173" s="182">
        <f>SUMIF(FY26_FE_Data_April15[[Type]:[Type]],$D$173,FY26_FE_Data_April15[ESA - All - FY25])</f>
        <v>211.5325</v>
      </c>
      <c r="EB173" s="182">
        <f>SUMIF(FY26_FE_Data_April15[[Type]:[Type]],$D$173,FY26_FE_Data_April15[ESA - Educators Only - FY25])</f>
        <v>206.36999999999998</v>
      </c>
      <c r="EC173" s="182">
        <f>SUMIF(FY26_FE_Data_April15[[Type]:[Type]],$D$173,FY26_FE_Data_April15[TSM FTE - Elementary - FY25])</f>
        <v>89.990000000000009</v>
      </c>
      <c r="ED173" s="182">
        <f>SUMIF(FY26_FE_Data_April15[[Type]:[Type]],$D$173,FY26_FE_Data_April15[TSM FTE - Secondary - FY25])</f>
        <v>73.59</v>
      </c>
      <c r="EE173" s="182">
        <f>SUMIF(FY26_FE_Data_April15[[Type]:[Type]],$D$173,FY26_FE_Data_April15[TSM FTE - Reg. Pre-K - FY25])</f>
        <v>0</v>
      </c>
      <c r="EF173" s="182">
        <f>SUMIF(FY26_FE_Data_April15[[Type]:[Type]],$D$173,FY26_FE_Data_April15[Educ. Prof. Hrs. FTE - FY25])</f>
        <v>216.23600000000002</v>
      </c>
      <c r="EG173" s="182">
        <f>SUMIF(FY26_FE_Data_April15[[Type]:[Type]],$D$173,FY26_FE_Data_April15[ProStaff Ratios - FY24 YE])</f>
        <v>0.10137975462209625</v>
      </c>
      <c r="EH173" s="182">
        <f>SUMIF(FY26_FE_Data_April15[[Type]:[Type]],$D$173,FY26_FE_Data_April15[Oct 1 2024 Counts - Online Students &gt;=180 Days in FY2024/Still Online on Oct 1])</f>
        <v>0</v>
      </c>
      <c r="EI173" s="182">
        <f>SUMIF(FY26_FE_Data_April15[[Type]:[Type]],$D$173,FY26_FE_Data_April15[Oct 1, 2025 (CDC) - K])</f>
        <v>0</v>
      </c>
      <c r="EJ173" s="182">
        <f>SUMIF(FY26_FE_Data_April15[[Type]:[Type]],$D$173,FY26_FE_Data_April15[Oct 1, 2025 (CDC) - Grades 1-12])</f>
        <v>0</v>
      </c>
      <c r="EK173" s="182">
        <f>SUMIF(FY26_FE_Data_April15[[Type]:[Type]],$D$173,FY26_FE_Data_April15[Oct 1, 2025 (CDC) - Grades 1-6])</f>
        <v>0</v>
      </c>
      <c r="EL173" s="182">
        <f>SUMIF(FY26_FE_Data_April15[[Type]:[Type]],$D$173,FY26_FE_Data_April15[Oct 1, 2025 (CDC) - Grades 7-8])</f>
        <v>0</v>
      </c>
      <c r="EM173" s="182">
        <f>SUMIF(FY26_FE_Data_April15[[Type]:[Type]],$D$173,FY26_FE_Data_April15[Oct 1, 2025 (CDC) - Grades 9-12])</f>
        <v>0</v>
      </c>
      <c r="EN173" s="182">
        <f>SUMIF(FY26_FE_Data_April15[[Type]:[Type]],$D$173,FY26_FE_Data_April15[Oct 1, 2025 (CDC) - Grades K-12])</f>
        <v>0</v>
      </c>
      <c r="EO173" s="182">
        <f>SUMIF(FY26_FE_Data_April15[[Type]:[Type]],$D$173,FY26_FE_Data_April15[December 1, 2024 - SPED Pre-K 3-5 Count])</f>
        <v>86</v>
      </c>
      <c r="EP173" s="182">
        <f>SUMIF(FY26_FE_Data_April15[[Type]:[Type]],$D$173,FY26_FE_Data_April15[December 1, 2024 - SPED K-12])</f>
        <v>191</v>
      </c>
      <c r="EQ173" s="182">
        <f>SUMIF(FY26_FE_Data_April15[[Type]:[Type]],$D$173,FY26_FE_Data_April15[December 1, 2024 - SPED PreK-12 - All Ages])</f>
        <v>277</v>
      </c>
      <c r="ER173" s="182">
        <f>SUMIF(FY26_FE_Data_April15[[Type]:[Type]],$D$173,FY26_FE_Data_April15[December 1, 2024 - SPED Resource])</f>
        <v>0</v>
      </c>
      <c r="ES173" s="182">
        <f>SUMIF(FY26_FE_Data_April15[[Type]:[Type]],$D$173,FY26_FE_Data_April15[December 1, 2024 - SPED Self-Contained])</f>
        <v>191</v>
      </c>
      <c r="ET173" s="182">
        <f>SUMIF(FY26_FE_Data_April15[[Type]:[Type]],$D$173,FY26_FE_Data_April15[FY24 ESY Count])</f>
        <v>37</v>
      </c>
      <c r="EU173" s="182">
        <f>SUMIF(FY26_FE_Data_April15[[Type]:[Type]],$D$173,FY26_FE_Data_April15[FY24 Classified FTE: Instructional Paraprofessionals])</f>
        <v>126</v>
      </c>
      <c r="EV173" s="182">
        <f>SUMIF(FY26_FE_Data_April15[[Type]:[Type]],$D$173,FY26_FE_Data_April15[FY24 Classified FTE: Library Paraprofessionals])</f>
        <v>7</v>
      </c>
      <c r="EW173" s="182">
        <f>SUMIF(FY26_FE_Data_April15[[Type]:[Type]],$D$173,FY26_FE_Data_April15[FY24 Classified FTE: School Support])</f>
        <v>17</v>
      </c>
      <c r="EX173" s="182">
        <f>SUMIF(FY26_FE_Data_April15[[Type]:[Type]],$D$173,FY26_FE_Data_April15[FY24 Classified FTE: Student Support])</f>
        <v>64</v>
      </c>
      <c r="EY173" s="182">
        <f>SUMIF(FY26_FE_Data_April15[[Type]:[Type]],$D$173,FY26_FE_Data_April15[FY24 Classified FTE: Other Support Staff])</f>
        <v>53</v>
      </c>
      <c r="EZ173" s="182">
        <f>SUMIF(FY26_FE_Data_April15[[Type]:[Type]],$D$173,FY26_FE_Data_April15[FY24 Classified FTE: All Qualifying FTE])</f>
        <v>267</v>
      </c>
      <c r="FA173" s="190">
        <f>SUMIF(FY26_FE_Data_April15[[Type]:[Type]],$D$173,FY26_FE_Data_April15[FY25 ADM - Half Day K])</f>
        <v>0</v>
      </c>
      <c r="FB173" s="190">
        <f>SUMIF(FY26_FE_Data_April15[[Type]:[Type]],$D$173,FY26_FE_Data_April15[FY25 ADM - Full Day K])</f>
        <v>2.6055555555555556</v>
      </c>
      <c r="FC173" s="190">
        <f>SUMIF(FY26_FE_Data_April15[[Type]:[Type]],$D$173,FY26_FE_Data_April15[FY25 ADM - Total K])</f>
        <v>2.6055555555555556</v>
      </c>
      <c r="FD173" s="190">
        <f>SUMIF(FY26_FE_Data_April15[[Type]:[Type]],$D$173,FY26_FE_Data_April15[FY25 ADM - Grade 1])</f>
        <v>4.427777777777778</v>
      </c>
      <c r="FE173" s="190">
        <f>SUMIF(FY26_FE_Data_April15[[Type]:[Type]],$D$173,FY26_FE_Data_April15[FY25 ADM - Grade 2])</f>
        <v>2.3833333333333333</v>
      </c>
      <c r="FF173" s="190">
        <f>SUMIF(FY26_FE_Data_April15[[Type]:[Type]],$D$173,FY26_FE_Data_April15[FY25 ADM - Grade 3])</f>
        <v>1.7166666666666666</v>
      </c>
      <c r="FG173" s="190">
        <f>SUMIF(FY26_FE_Data_April15[[Type]:[Type]],$D$173,FY26_FE_Data_April15[FY25 ADM - Grade 4])</f>
        <v>3.9944444444444445</v>
      </c>
      <c r="FH173" s="190">
        <f>SUMIF(FY26_FE_Data_April15[[Type]:[Type]],$D$173,FY26_FE_Data_April15[FY25 ADM - Grade 5])</f>
        <v>1.1055555555555556</v>
      </c>
      <c r="FI173" s="190">
        <f>SUMIF(FY26_FE_Data_April15[[Type]:[Type]],$D$173,FY26_FE_Data_April15[FY25 ADM - Grade 6])</f>
        <v>1</v>
      </c>
      <c r="FJ173" s="190">
        <f>SUMIF(FY26_FE_Data_April15[[Type]:[Type]],$D$173,FY26_FE_Data_April15[FY25 ADM - Grade 7])</f>
        <v>1.9277777777777778</v>
      </c>
      <c r="FK173" s="190">
        <f>SUMIF(FY26_FE_Data_April15[[Type]:[Type]],$D$173,FY26_FE_Data_April15[FY25 ADM - Grade 8])</f>
        <v>0.55555555555555558</v>
      </c>
      <c r="FL173" s="190">
        <f>SUMIF(FY26_FE_Data_April15[[Type]:[Type]],$D$173,FY26_FE_Data_April15[FY25 ADM - Grade 9])</f>
        <v>0.21111111111111111</v>
      </c>
      <c r="FM173" s="190">
        <f>SUMIF(FY26_FE_Data_April15[[Type]:[Type]],$D$173,FY26_FE_Data_April15[FY25 ADM - Grade 10])</f>
        <v>0.40555555555555556</v>
      </c>
      <c r="FN173" s="190">
        <f>SUMIF(FY26_FE_Data_April15[[Type]:[Type]],$D$173,FY26_FE_Data_April15[FY25 ADM - Grade 11])</f>
        <v>5.5555555555555558E-3</v>
      </c>
      <c r="FO173" s="190">
        <f>SUMIF(FY26_FE_Data_April15[[Type]:[Type]],$D$173,FY26_FE_Data_April15[FY25 ADM - Grade 12])</f>
        <v>1.9444444444444444</v>
      </c>
      <c r="FP173" s="190">
        <f>SUMIF(FY26_FE_Data_April15[[Type]:[Type]],$D$173,FY26_FE_Data_April15[FY25 ADM - Grades 1-6])</f>
        <v>14.627777777777778</v>
      </c>
      <c r="FQ173" s="190">
        <f>SUMIF(FY26_FE_Data_April15[[Type]:[Type]],$D$173,FY26_FE_Data_April15[FY25 ADM - Grades 7-8])</f>
        <v>2.4833333333333334</v>
      </c>
      <c r="FR173" s="190">
        <f>SUMIF(FY26_FE_Data_April15[[Type]:[Type]],$D$173,FY26_FE_Data_April15[FY25 ADM - Grades 9-12])</f>
        <v>2.5666666666666664</v>
      </c>
      <c r="FS173" s="190">
        <f>SUMIF(FY26_FE_Data_April15[[Type]:[Type]],$D$173,FY26_FE_Data_April15[FY25 ADM - Grades K-8])</f>
        <v>19.716666666666665</v>
      </c>
      <c r="FT173" s="190">
        <f>SUMIF(FY26_FE_Data_April15[[Type]:[Type]],$D$173,FY26_FE_Data_April15[FY25 ADM - Grades 1-12])</f>
        <v>19.677777777777781</v>
      </c>
      <c r="FU173" s="190">
        <f>SUMIF(FY26_FE_Data_April15[[Type]:[Type]],$D$173,FY26_FE_Data_April15[FY25 ADM - Grades K-12])</f>
        <v>22.283333333333331</v>
      </c>
      <c r="FV173" s="190">
        <f>SUMIF(FY26_FE_Data_April15[[Type]:[Type]],$D$173,FY26_FE_Data_April15[FY25 ADM - SPED Resource])</f>
        <v>0</v>
      </c>
      <c r="FW173" s="190">
        <f>SUMIF(FY26_FE_Data_April15[[Type]:[Type]],$D$173,FY26_FE_Data_April15[FY25 ADM - SPED Self-Contained])</f>
        <v>189.34444444444443</v>
      </c>
      <c r="FX173" s="190">
        <f>SUMIF(FY26_FE_Data_April15[[Type]:[Type]],$D$173,FY26_FE_Data_April15[FY25 ADM - Total SPED])</f>
        <v>189.34444444444443</v>
      </c>
      <c r="FY173" s="190">
        <f>SUMIF(FY26_FE_Data_April15[[Type]:[Type]],$D$173,FY26_FE_Data_April15[FY25 ADM - K-12 + SC])</f>
        <v>211.62777777777777</v>
      </c>
      <c r="FZ173" s="191">
        <f>SUMIF(FY26_FE_Data_April15[[Type]:[Type]],$D$173,FY26_FE_Data_April15[Oct. 1, 2025 - HDK])</f>
        <v>0</v>
      </c>
      <c r="GA173" s="191">
        <f>SUMIF(FY26_FE_Data_April15[[Type]:[Type]],$D$173,FY26_FE_Data_April15[Oct. 1, 2025 - FDK])</f>
        <v>27</v>
      </c>
      <c r="GB173" s="191">
        <f>SUMIF(FY26_FE_Data_April15[[Type]:[Type]],$D$173,FY26_FE_Data_April15[Oct. 1, 2025 - Total K])</f>
        <v>27</v>
      </c>
      <c r="GC173" s="191">
        <f>SUMIF(FY26_FE_Data_April15[[Type]:[Type]],$D$173,FY26_FE_Data_April15[Oct. 1, 2025 - Grade 1])</f>
        <v>23</v>
      </c>
      <c r="GD173" s="191">
        <f>SUMIF(FY26_FE_Data_April15[[Type]:[Type]],$D$173,FY26_FE_Data_April15[Oct. 1, 2025 - Grade 2])</f>
        <v>23</v>
      </c>
      <c r="GE173" s="191">
        <f>SUMIF(FY26_FE_Data_April15[[Type]:[Type]],$D$173,FY26_FE_Data_April15[Oct. 1, 2025 - Grade 3])</f>
        <v>27</v>
      </c>
      <c r="GF173" s="191">
        <f>SUMIF(FY26_FE_Data_April15[[Type]:[Type]],$D$173,FY26_FE_Data_April15[Oct. 1, 2025 - Grade 4])</f>
        <v>19</v>
      </c>
      <c r="GG173" s="191">
        <f>SUMIF(FY26_FE_Data_April15[[Type]:[Type]],$D$173,FY26_FE_Data_April15[Oct. 1, 2025 - Grade 5])</f>
        <v>12</v>
      </c>
      <c r="GH173" s="191">
        <f>SUMIF(FY26_FE_Data_April15[[Type]:[Type]],$D$173,FY26_FE_Data_April15[Oct. 1, 2025 - Grade 6])</f>
        <v>12</v>
      </c>
      <c r="GI173" s="191">
        <f>SUMIF(FY26_FE_Data_April15[[Type]:[Type]],$D$173,FY26_FE_Data_April15[Oct. 1, 2025 - Grade 7])</f>
        <v>13</v>
      </c>
      <c r="GJ173" s="191">
        <f>SUMIF(FY26_FE_Data_April15[[Type]:[Type]],$D$173,FY26_FE_Data_April15[Oct. 1, 2025 - Grade 8])</f>
        <v>16</v>
      </c>
      <c r="GK173" s="191">
        <f>SUMIF(FY26_FE_Data_April15[[Type]:[Type]],$D$173,FY26_FE_Data_April15[Oct. 1, 2025 - Grade 9])</f>
        <v>8</v>
      </c>
      <c r="GL173" s="191">
        <f>SUMIF(FY26_FE_Data_April15[[Type]:[Type]],$D$173,FY26_FE_Data_April15[Oct. 1, 2025 - Grade 10])</f>
        <v>15</v>
      </c>
      <c r="GM173" s="191">
        <f>SUMIF(FY26_FE_Data_April15[[Type]:[Type]],$D$173,FY26_FE_Data_April15[Oct. 1, 2025 - Grade 11])</f>
        <v>10</v>
      </c>
      <c r="GN173" s="191">
        <f>SUMIF(FY26_FE_Data_April15[[Type]:[Type]],$D$173,FY26_FE_Data_April15[Oct. 1, 2025 - Grade 12])</f>
        <v>25</v>
      </c>
      <c r="GO173" s="191">
        <f>SUMIF(FY26_FE_Data_April15[[Type]:[Type]],$D$173,FY26_FE_Data_April15[Oct. 1, 2025 - Grades 1-6])</f>
        <v>116</v>
      </c>
      <c r="GP173" s="191">
        <f>SUMIF(FY26_FE_Data_April15[[Type]:[Type]],$D$173,FY26_FE_Data_April15[Oct. 1, 2025 - Grades 7-8])</f>
        <v>29</v>
      </c>
      <c r="GQ173" s="191">
        <f>SUMIF(FY26_FE_Data_April15[[Type]:[Type]],$D$173,FY26_FE_Data_April15[Oct. 1, 2025 - Grades 9-12])</f>
        <v>58</v>
      </c>
      <c r="GR173" s="191">
        <f>SUMIF(FY26_FE_Data_April15[[Type]:[Type]],$D$173,FY26_FE_Data_April15[Oct. 1, 2025 - Grades K-8])</f>
        <v>172</v>
      </c>
      <c r="GS173" s="191">
        <f>SUMIF(FY26_FE_Data_April15[[Type]:[Type]],$D$173,FY26_FE_Data_April15[Oct. 1, 2025 - Grades 1-12])</f>
        <v>203</v>
      </c>
      <c r="GT173" s="191">
        <f>SUMIF(FY26_FE_Data_April15[[Type]:[Type]],$D$173,FY26_FE_Data_April15[Oct. 1, 2025 - Grades K-12])</f>
        <v>230</v>
      </c>
      <c r="GU173" s="191">
        <f>SUMIF(FY26_FE_Data_April15[[Type]:[Type]],$D$173,FY26_FE_Data_April15[Oct. 1, 2025 - Foreign Exchange])</f>
        <v>0</v>
      </c>
      <c r="GV173" s="191">
        <f>SUMIF(FY26_FE_Data_April15[[Type]:[Type]],$D$173,FY26_FE_Data_April15[Oct. 1, 2025 - Econ. Disadv.])</f>
        <v>62</v>
      </c>
      <c r="GW173" s="191">
        <f>SUMIF(FY26_FE_Data_April15[[Type]:[Type]],$D$173,FY26_FE_Data_April15[Oct. 1, 2025 - SPED Resource])</f>
        <v>1</v>
      </c>
      <c r="GX173" s="191">
        <f>SUMIF(FY26_FE_Data_April15[[Type]:[Type]],$D$173,FY26_FE_Data_April15[Oct. 1, 2025 - SPED Self-Contained])</f>
        <v>203</v>
      </c>
      <c r="GY173" s="191">
        <f>SUMIF(FY26_FE_Data_April15[[Type]:[Type]],$D$173,FY26_FE_Data_April15[Oct. 1, 2025 - Total SPED])</f>
        <v>204</v>
      </c>
      <c r="GZ173" s="191">
        <f>SUMIF(FY26_FE_Data_April15[[Type]:[Type]],$D$173,FY26_FE_Data_April15[Oct. 1, 2025 - K-12 +SC])</f>
        <v>433</v>
      </c>
      <c r="HA173" s="191">
        <f>SUMIF(FY26_FE_Data_April15[[Type]:[Type]],$D$173,FY26_FE_Data_April15[Oct. 1, 2025 - LEP])</f>
        <v>5</v>
      </c>
      <c r="HB173" s="190">
        <f>SUMIF(FY26_FE_Data_April15[[Type]:[Type]],$D$173,FY26_FE_Data_April15[ESA - All - FY26])</f>
        <v>217.27050000000003</v>
      </c>
      <c r="HC173" s="190">
        <f>SUMIF(FY26_FE_Data_April15[[Type]:[Type]],$D$173,FY26_FE_Data_April15[ESA - Educators Only - FY26])</f>
        <v>213.56700000000001</v>
      </c>
      <c r="HD173" s="190">
        <f>SUMIF(FY26_FE_Data_April15[[Type]:[Type]],$D$173,FY26_FE_Data_April15[TSM FTE - Elementary - FY26])</f>
        <v>91.487000000000023</v>
      </c>
      <c r="HE173" s="190">
        <f>SUMIF(FY26_FE_Data_April15[[Type]:[Type]],$D$173,FY26_FE_Data_April15[TSM FTE - Secondary - FY26])</f>
        <v>73.38</v>
      </c>
      <c r="HF173" s="190">
        <f>SUMIF(FY26_FE_Data_April15[[Type]:[Type]],$D$173,FY26_FE_Data_April15[TSM FTE - Reg. Pre-K - FY26])</f>
        <v>0</v>
      </c>
      <c r="HG173" s="190">
        <f>SUMIF(FY26_FE_Data_April15[[Type]:[Type]],$D$173,FY26_FE_Data_April15[Educ. Prof. Hrs. FTE - FY26])</f>
        <v>209.97399999999999</v>
      </c>
      <c r="HH173" s="190">
        <f>SUMIF(FY26_FE_Data_April15[[Type]:[Type]],$D$173,FY26_FE_Data_April15[December 1, 2025 - SPED Pre-K 3-5 Total])</f>
        <v>90</v>
      </c>
      <c r="HI173" s="190">
        <f>SUMIF(FY26_FE_Data_April15[[Type]:[Type]],$D$173,FY26_FE_Data_April15[December 1, 2025 - SPED K-12])</f>
        <v>207</v>
      </c>
      <c r="HJ173" s="190">
        <f>SUMIF(FY26_FE_Data_April15[[Type]:[Type]],$D$173,FY26_FE_Data_April15[December 1, 2025 - SPED PreK-12 - All Ages])</f>
        <v>297</v>
      </c>
      <c r="HK173" s="190">
        <f>SUMIF(FY26_FE_Data_April15[[Type]:[Type]],$D$173,FY26_FE_Data_April15[December 1, 2025 - SPED Resource])</f>
        <v>0</v>
      </c>
      <c r="HL173" s="190">
        <f>SUMIF(FY26_FE_Data_April15[[Type]:[Type]],$D$173,FY26_FE_Data_April15[December 1, 2025 - SPED Self-Contained])</f>
        <v>207</v>
      </c>
      <c r="HM173" s="190"/>
      <c r="HN173" s="190">
        <f>SUMIF(FY26_FE_Data_April15[[Type]:[Type]],$D$173,FY26_FE_Data_April15[Oct 1, 2026 (CDC) - K])</f>
        <v>0</v>
      </c>
      <c r="HO173" s="190">
        <f>SUMIF(FY26_FE_Data_April15[[Type]:[Type]],$D$173,FY26_FE_Data_April15[Oct 1, 2026 (CDC) - Grades 1-12])</f>
        <v>0</v>
      </c>
      <c r="HP173" s="190">
        <f>SUMIF(FY26_FE_Data_April15[[Type]:[Type]],$D$173,FY26_FE_Data_April15[Oct 1, 2026 (CDC) - Grades 1-6])</f>
        <v>0</v>
      </c>
      <c r="HQ173" s="190">
        <f>SUMIF(FY26_FE_Data_April15[[Type]:[Type]],$D$173,FY26_FE_Data_April15[Oct 1, 2026 (CDC) - Grades 7-8])</f>
        <v>0</v>
      </c>
      <c r="HR173" s="190">
        <f>SUMIF(FY26_FE_Data_April15[[Type]:[Type]],$D$173,FY26_FE_Data_April15[Oct 1, 2026 (CDC) - Grades 9-12])</f>
        <v>0</v>
      </c>
      <c r="HS173" s="190">
        <f>SUMIF(FY26_FE_Data_April15[[Type]:[Type]],$D$173,FY26_FE_Data_April15[Oct 1, 2026 (CDC) - Grades K-12])</f>
        <v>0</v>
      </c>
      <c r="HT173" s="190">
        <f>SUMIF(FY26_FE_Data_April15[[Type]:[Type]],$D$173,FY26_FE_Data_April15[Oct 1, 2026 (CDC) - Grades K-8])</f>
        <v>0</v>
      </c>
      <c r="HU173" s="190">
        <f>SUMIF(FY26_FE_Data_April15[[Type]:[Type]],$D$173,FY26_FE_Data_April15[FY25 ADM - Online Students - Online All 180 Days])</f>
        <v>0</v>
      </c>
    </row>
    <row r="174" spans="1:233" s="190" customFormat="1">
      <c r="A174" s="192"/>
      <c r="B174" s="192"/>
      <c r="D174" s="190" t="s">
        <v>84</v>
      </c>
      <c r="H174" s="190">
        <f t="shared" ref="H174:BU174" si="0">SUM(H171:H173)</f>
        <v>70443.305555555533</v>
      </c>
      <c r="I174" s="190">
        <f t="shared" si="0"/>
        <v>11523.83333333333</v>
      </c>
      <c r="J174" s="190">
        <f t="shared" si="0"/>
        <v>81967.138888888905</v>
      </c>
      <c r="K174" s="190">
        <f t="shared" si="0"/>
        <v>46694</v>
      </c>
      <c r="L174" s="190">
        <f t="shared" si="0"/>
        <v>307225</v>
      </c>
      <c r="M174" s="190">
        <f t="shared" si="0"/>
        <v>107167</v>
      </c>
      <c r="N174" s="190">
        <f t="shared" si="0"/>
        <v>214760</v>
      </c>
      <c r="O174" s="190">
        <f t="shared" si="0"/>
        <v>675846</v>
      </c>
      <c r="P174" s="190">
        <f t="shared" si="0"/>
        <v>629152</v>
      </c>
      <c r="Q174" s="190">
        <f t="shared" si="0"/>
        <v>461086</v>
      </c>
      <c r="R174" s="190">
        <f t="shared" si="0"/>
        <v>11546</v>
      </c>
      <c r="S174" s="190">
        <f t="shared" si="0"/>
        <v>45562.083333333343</v>
      </c>
      <c r="T174" s="190">
        <f t="shared" si="0"/>
        <v>49280.738888888896</v>
      </c>
      <c r="U174" s="190">
        <f t="shared" si="0"/>
        <v>49305.505555555559</v>
      </c>
      <c r="V174" s="190">
        <f t="shared" si="0"/>
        <v>49947.555555555547</v>
      </c>
      <c r="W174" s="190">
        <f t="shared" si="0"/>
        <v>50906.922222222238</v>
      </c>
      <c r="X174" s="190">
        <f t="shared" si="0"/>
        <v>49875.599999999991</v>
      </c>
      <c r="Y174" s="190">
        <f t="shared" si="0"/>
        <v>51171.522222222222</v>
      </c>
      <c r="Z174" s="190">
        <f t="shared" si="0"/>
        <v>51711.422222222216</v>
      </c>
      <c r="AA174" s="190">
        <f t="shared" si="0"/>
        <v>52771.12777777778</v>
      </c>
      <c r="AB174" s="190">
        <f t="shared" si="0"/>
        <v>54150.766666666677</v>
      </c>
      <c r="AC174" s="190">
        <f t="shared" si="0"/>
        <v>53915.550000000025</v>
      </c>
      <c r="AD174" s="190">
        <f t="shared" si="0"/>
        <v>51068.69999999999</v>
      </c>
      <c r="AE174" s="190">
        <f t="shared" si="0"/>
        <v>44624.683333333334</v>
      </c>
      <c r="AF174" s="190">
        <f t="shared" si="0"/>
        <v>300487.84444444446</v>
      </c>
      <c r="AG174" s="190">
        <f t="shared" si="0"/>
        <v>104482.55000000002</v>
      </c>
      <c r="AH174" s="190">
        <f t="shared" si="0"/>
        <v>203759.7</v>
      </c>
      <c r="AI174" s="190">
        <f t="shared" si="0"/>
        <v>450532.47777777771</v>
      </c>
      <c r="AJ174" s="190">
        <f t="shared" si="0"/>
        <v>608730.0944444444</v>
      </c>
      <c r="AK174" s="190">
        <f t="shared" si="0"/>
        <v>654292.17777777789</v>
      </c>
      <c r="AL174" s="190">
        <f t="shared" si="0"/>
        <v>73194.161111111112</v>
      </c>
      <c r="AM174" s="190">
        <f t="shared" si="0"/>
        <v>11778.861111111111</v>
      </c>
      <c r="AN174" s="190">
        <f t="shared" si="0"/>
        <v>84973.022222222207</v>
      </c>
      <c r="AO174" s="190">
        <f t="shared" si="0"/>
        <v>666071.03888888878</v>
      </c>
      <c r="AP174" s="190">
        <f t="shared" si="0"/>
        <v>45256</v>
      </c>
      <c r="AQ174" s="190">
        <f t="shared" si="0"/>
        <v>48197</v>
      </c>
      <c r="AR174" s="190">
        <f t="shared" si="0"/>
        <v>50926</v>
      </c>
      <c r="AS174" s="190">
        <f t="shared" si="0"/>
        <v>51017</v>
      </c>
      <c r="AT174" s="190">
        <f t="shared" si="0"/>
        <v>51429</v>
      </c>
      <c r="AU174" s="190">
        <f t="shared" si="0"/>
        <v>52597</v>
      </c>
      <c r="AV174" s="190">
        <f t="shared" si="0"/>
        <v>51476</v>
      </c>
      <c r="AW174" s="190">
        <f t="shared" si="0"/>
        <v>52969</v>
      </c>
      <c r="AX174" s="190">
        <f t="shared" si="0"/>
        <v>53344</v>
      </c>
      <c r="AY174" s="190">
        <f t="shared" si="0"/>
        <v>54553</v>
      </c>
      <c r="AZ174" s="190">
        <f t="shared" si="0"/>
        <v>55713</v>
      </c>
      <c r="BA174" s="190">
        <f t="shared" si="0"/>
        <v>54586</v>
      </c>
      <c r="BB174" s="190">
        <f t="shared" si="0"/>
        <v>51906</v>
      </c>
      <c r="BC174" s="190">
        <f t="shared" si="0"/>
        <v>305642</v>
      </c>
      <c r="BD174" s="190">
        <f t="shared" si="0"/>
        <v>106313</v>
      </c>
      <c r="BE174" s="190">
        <f t="shared" si="0"/>
        <v>216758</v>
      </c>
      <c r="BF174" s="190">
        <f t="shared" si="0"/>
        <v>457211</v>
      </c>
      <c r="BG174" s="190">
        <f t="shared" si="0"/>
        <v>628713</v>
      </c>
      <c r="BH174" s="190">
        <f t="shared" si="0"/>
        <v>673969</v>
      </c>
      <c r="BI174" s="190">
        <f t="shared" si="0"/>
        <v>34911</v>
      </c>
      <c r="BJ174" s="190">
        <f t="shared" si="0"/>
        <v>10345</v>
      </c>
      <c r="BK174" s="190">
        <f t="shared" si="0"/>
        <v>353</v>
      </c>
      <c r="BL174" s="190">
        <f t="shared" si="0"/>
        <v>205313</v>
      </c>
      <c r="BM174" s="190">
        <f t="shared" si="0"/>
        <v>74559</v>
      </c>
      <c r="BN174" s="190">
        <f t="shared" si="0"/>
        <v>11980</v>
      </c>
      <c r="BO174" s="190">
        <f t="shared" si="0"/>
        <v>86539</v>
      </c>
      <c r="BP174" s="190">
        <f t="shared" si="0"/>
        <v>59187</v>
      </c>
      <c r="BQ174" s="190">
        <f t="shared" si="0"/>
        <v>11.974604401574977</v>
      </c>
      <c r="BR174" s="190">
        <f t="shared" si="0"/>
        <v>38689.897319999989</v>
      </c>
      <c r="BS174" s="190">
        <f t="shared" si="0"/>
        <v>36872.32132000001</v>
      </c>
      <c r="BT174" s="190">
        <f t="shared" si="0"/>
        <v>34418.054980000008</v>
      </c>
      <c r="BU174" s="190">
        <f t="shared" si="0"/>
        <v>38333.27888000002</v>
      </c>
      <c r="BV174" s="190">
        <f t="shared" ref="BV174:EI174" si="1">SUM(BV171:BV173)</f>
        <v>12086</v>
      </c>
      <c r="BW174" s="190">
        <f t="shared" si="1"/>
        <v>11414</v>
      </c>
      <c r="BX174" s="190">
        <f t="shared" si="1"/>
        <v>24125.066656999996</v>
      </c>
      <c r="BY174" s="190">
        <f t="shared" si="1"/>
        <v>9926.1721819999984</v>
      </c>
      <c r="BZ174" s="190">
        <f t="shared" si="1"/>
        <v>34400.916612999994</v>
      </c>
      <c r="CA174" s="190">
        <f t="shared" si="1"/>
        <v>44327.088888888888</v>
      </c>
      <c r="CB174" s="190">
        <f t="shared" si="1"/>
        <v>47115.005555555545</v>
      </c>
      <c r="CC174" s="190">
        <f t="shared" si="1"/>
        <v>49805.616666666683</v>
      </c>
      <c r="CD174" s="190">
        <f t="shared" si="1"/>
        <v>49998.388888888883</v>
      </c>
      <c r="CE174" s="190">
        <f t="shared" si="1"/>
        <v>50416.877777777772</v>
      </c>
      <c r="CF174" s="190">
        <f t="shared" si="1"/>
        <v>51505.688888888893</v>
      </c>
      <c r="CG174" s="190">
        <f t="shared" si="1"/>
        <v>50315.505555555545</v>
      </c>
      <c r="CH174" s="190">
        <f t="shared" si="1"/>
        <v>51719.677777777782</v>
      </c>
      <c r="CI174" s="190">
        <f t="shared" si="1"/>
        <v>52012.316666666673</v>
      </c>
      <c r="CJ174" s="190">
        <f t="shared" si="1"/>
        <v>53221.205555555556</v>
      </c>
      <c r="CK174" s="190">
        <f t="shared" si="1"/>
        <v>54158.816666666666</v>
      </c>
      <c r="CL174" s="190">
        <f t="shared" si="1"/>
        <v>52711.000000000007</v>
      </c>
      <c r="CM174" s="190">
        <f t="shared" si="1"/>
        <v>45652.011111111111</v>
      </c>
      <c r="CN174" s="190">
        <f t="shared" si="1"/>
        <v>299157.08333333331</v>
      </c>
      <c r="CO174" s="190">
        <f t="shared" si="1"/>
        <v>103731.99444444446</v>
      </c>
      <c r="CP174" s="190">
        <f t="shared" si="1"/>
        <v>205743.03333333335</v>
      </c>
      <c r="CQ174" s="190">
        <f t="shared" si="1"/>
        <v>447216.16666666657</v>
      </c>
      <c r="CR174" s="190">
        <f t="shared" si="1"/>
        <v>608632.11111111112</v>
      </c>
      <c r="CS174" s="190">
        <f t="shared" si="1"/>
        <v>652959.19999999984</v>
      </c>
      <c r="CT174" s="190">
        <f t="shared" si="1"/>
        <v>75516.211111111101</v>
      </c>
      <c r="CU174" s="190">
        <f t="shared" si="1"/>
        <v>11870.383333333333</v>
      </c>
      <c r="CV174" s="190">
        <f t="shared" si="1"/>
        <v>87386.594444444432</v>
      </c>
      <c r="CW174" s="190">
        <f t="shared" si="1"/>
        <v>664829.58333333314</v>
      </c>
      <c r="CX174" s="190">
        <f t="shared" si="1"/>
        <v>22410.277770000001</v>
      </c>
      <c r="CY174" s="190">
        <f t="shared" si="1"/>
        <v>40636</v>
      </c>
      <c r="CZ174" s="190">
        <f t="shared" si="1"/>
        <v>4149</v>
      </c>
      <c r="DA174" s="190">
        <f t="shared" si="1"/>
        <v>44785</v>
      </c>
      <c r="DB174" s="190">
        <f t="shared" si="1"/>
        <v>46343</v>
      </c>
      <c r="DC174" s="190">
        <f t="shared" si="1"/>
        <v>48541</v>
      </c>
      <c r="DD174" s="190">
        <f t="shared" si="1"/>
        <v>51125</v>
      </c>
      <c r="DE174" s="190">
        <f t="shared" si="1"/>
        <v>51313</v>
      </c>
      <c r="DF174" s="190">
        <f t="shared" si="1"/>
        <v>51708</v>
      </c>
      <c r="DG174" s="190">
        <f t="shared" si="1"/>
        <v>52807</v>
      </c>
      <c r="DH174" s="190">
        <f t="shared" si="1"/>
        <v>51934</v>
      </c>
      <c r="DI174" s="190">
        <f t="shared" si="1"/>
        <v>53134</v>
      </c>
      <c r="DJ174" s="190">
        <f t="shared" si="1"/>
        <v>53823</v>
      </c>
      <c r="DK174" s="190">
        <f t="shared" si="1"/>
        <v>54783</v>
      </c>
      <c r="DL174" s="190">
        <f t="shared" si="1"/>
        <v>54980</v>
      </c>
      <c r="DM174" s="190">
        <f t="shared" si="1"/>
        <v>53541</v>
      </c>
      <c r="DN174" s="190">
        <f t="shared" si="1"/>
        <v>301837</v>
      </c>
      <c r="DO174" s="190">
        <f t="shared" si="1"/>
        <v>105068</v>
      </c>
      <c r="DP174" s="190">
        <f t="shared" si="1"/>
        <v>217127</v>
      </c>
      <c r="DQ174" s="190">
        <f t="shared" si="1"/>
        <v>451690</v>
      </c>
      <c r="DR174" s="190">
        <f t="shared" si="1"/>
        <v>624032</v>
      </c>
      <c r="DS174" s="190">
        <f t="shared" si="1"/>
        <v>668817</v>
      </c>
      <c r="DT174" s="190">
        <f t="shared" si="1"/>
        <v>349</v>
      </c>
      <c r="DU174" s="190">
        <f t="shared" si="1"/>
        <v>193684</v>
      </c>
      <c r="DV174" s="190">
        <f t="shared" si="1"/>
        <v>75917</v>
      </c>
      <c r="DW174" s="190">
        <f t="shared" si="1"/>
        <v>11761</v>
      </c>
      <c r="DX174" s="190">
        <f t="shared" si="1"/>
        <v>87678</v>
      </c>
      <c r="DY174" s="190">
        <f t="shared" si="1"/>
        <v>680578</v>
      </c>
      <c r="DZ174" s="190">
        <f t="shared" si="1"/>
        <v>61518</v>
      </c>
      <c r="EA174" s="190">
        <f t="shared" si="1"/>
        <v>39070.55515</v>
      </c>
      <c r="EB174" s="190">
        <f t="shared" si="1"/>
        <v>37171.944149999996</v>
      </c>
      <c r="EC174" s="190">
        <f t="shared" si="1"/>
        <v>16531.867000000002</v>
      </c>
      <c r="ED174" s="190">
        <f t="shared" si="1"/>
        <v>14525.604999999996</v>
      </c>
      <c r="EE174" s="190">
        <f t="shared" si="1"/>
        <v>52.273000000000003</v>
      </c>
      <c r="EF174" s="190">
        <f t="shared" si="1"/>
        <v>39809.623350000009</v>
      </c>
      <c r="EG174" s="190">
        <f t="shared" si="1"/>
        <v>11.914819697134309</v>
      </c>
      <c r="EH174" s="190">
        <f t="shared" si="1"/>
        <v>0</v>
      </c>
      <c r="EI174" s="190">
        <f t="shared" si="1"/>
        <v>44154</v>
      </c>
      <c r="EJ174" s="190">
        <f t="shared" ref="EJ174:GV174" si="2">SUM(EJ171:EJ173)</f>
        <v>616721</v>
      </c>
      <c r="EK174" s="190">
        <f t="shared" si="2"/>
        <v>46070</v>
      </c>
      <c r="EL174" s="190">
        <f t="shared" si="2"/>
        <v>12360</v>
      </c>
      <c r="EM174" s="190">
        <f t="shared" si="2"/>
        <v>17342</v>
      </c>
      <c r="EN174" s="190">
        <f t="shared" si="2"/>
        <v>660875</v>
      </c>
      <c r="EO174" s="190">
        <f t="shared" si="2"/>
        <v>7627</v>
      </c>
      <c r="EP174" s="190">
        <f t="shared" si="2"/>
        <v>88281</v>
      </c>
      <c r="EQ174" s="190">
        <f t="shared" si="2"/>
        <v>95909</v>
      </c>
      <c r="ER174" s="190">
        <f t="shared" si="2"/>
        <v>76172</v>
      </c>
      <c r="ES174" s="190">
        <f t="shared" si="2"/>
        <v>12109</v>
      </c>
      <c r="ET174" s="190">
        <f t="shared" si="2"/>
        <v>4722</v>
      </c>
      <c r="EU174" s="190">
        <f t="shared" si="2"/>
        <v>12523.861999999999</v>
      </c>
      <c r="EV174" s="190">
        <f t="shared" si="2"/>
        <v>645.17200000000003</v>
      </c>
      <c r="EW174" s="190">
        <f t="shared" si="2"/>
        <v>2779.0749999999998</v>
      </c>
      <c r="EX174" s="190">
        <f t="shared" si="2"/>
        <v>1875.864</v>
      </c>
      <c r="EY174" s="190">
        <f t="shared" si="2"/>
        <v>9225.7009999999991</v>
      </c>
      <c r="EZ174" s="190">
        <f t="shared" si="2"/>
        <v>27049.674000000003</v>
      </c>
      <c r="FA174" s="193">
        <f t="shared" si="2"/>
        <v>3507.1055555555554</v>
      </c>
      <c r="FB174" s="193">
        <f t="shared" si="2"/>
        <v>40151.461111111123</v>
      </c>
      <c r="FC174" s="193">
        <f t="shared" si="2"/>
        <v>43658.566666666673</v>
      </c>
      <c r="FD174" s="193">
        <f t="shared" si="2"/>
        <v>45005.294444444444</v>
      </c>
      <c r="FE174" s="193">
        <f t="shared" si="2"/>
        <v>47234.461111111101</v>
      </c>
      <c r="FF174" s="193">
        <f t="shared" si="2"/>
        <v>49885.066666666673</v>
      </c>
      <c r="FG174" s="193">
        <f t="shared" si="2"/>
        <v>50047.39444444445</v>
      </c>
      <c r="FH174" s="193">
        <f t="shared" si="2"/>
        <v>50475.466666666674</v>
      </c>
      <c r="FI174" s="193">
        <f t="shared" si="2"/>
        <v>51480.23333333333</v>
      </c>
      <c r="FJ174" s="193">
        <f t="shared" si="2"/>
        <v>50499.411111111127</v>
      </c>
      <c r="FK174" s="193">
        <f t="shared" si="2"/>
        <v>51718.444444444438</v>
      </c>
      <c r="FL174" s="193">
        <f t="shared" si="2"/>
        <v>52373.433333333342</v>
      </c>
      <c r="FM174" s="193">
        <f t="shared" si="2"/>
        <v>53075.172222222231</v>
      </c>
      <c r="FN174" s="193">
        <f t="shared" si="2"/>
        <v>52982.06666666668</v>
      </c>
      <c r="FO174" s="193">
        <f t="shared" si="2"/>
        <v>47035.505555555559</v>
      </c>
      <c r="FP174" s="193">
        <f t="shared" si="2"/>
        <v>294127.91666666663</v>
      </c>
      <c r="FQ174" s="193">
        <f t="shared" si="2"/>
        <v>102217.85555555555</v>
      </c>
      <c r="FR174" s="193">
        <f t="shared" si="2"/>
        <v>205466.17777777775</v>
      </c>
      <c r="FS174" s="190">
        <f t="shared" si="2"/>
        <v>440004.33888888883</v>
      </c>
      <c r="FT174" s="190">
        <f t="shared" si="2"/>
        <v>601811.94999999995</v>
      </c>
      <c r="FU174" s="190">
        <f t="shared" si="2"/>
        <v>645470.51666666684</v>
      </c>
      <c r="FV174" s="190">
        <f t="shared" si="2"/>
        <v>76300.349999999991</v>
      </c>
      <c r="FW174" s="190">
        <f t="shared" si="2"/>
        <v>12108.933333333332</v>
      </c>
      <c r="FX174" s="190">
        <f t="shared" si="2"/>
        <v>88409.283333333311</v>
      </c>
      <c r="FY174" s="190">
        <f t="shared" si="2"/>
        <v>657579.45000000007</v>
      </c>
      <c r="FZ174" s="191">
        <f t="shared" si="2"/>
        <v>3494</v>
      </c>
      <c r="GA174" s="191">
        <f t="shared" si="2"/>
        <v>40057</v>
      </c>
      <c r="GB174" s="191">
        <f t="shared" si="2"/>
        <v>43551</v>
      </c>
      <c r="GC174" s="191">
        <f t="shared" si="2"/>
        <v>45272</v>
      </c>
      <c r="GD174" s="191">
        <f t="shared" si="2"/>
        <v>46283</v>
      </c>
      <c r="GE174" s="191">
        <f t="shared" si="2"/>
        <v>48569</v>
      </c>
      <c r="GF174" s="191">
        <f t="shared" si="2"/>
        <v>50975</v>
      </c>
      <c r="GG174" s="191">
        <f t="shared" si="2"/>
        <v>51178</v>
      </c>
      <c r="GH174" s="191">
        <f t="shared" si="2"/>
        <v>51610</v>
      </c>
      <c r="GI174" s="191">
        <f t="shared" si="2"/>
        <v>52946</v>
      </c>
      <c r="GJ174" s="191">
        <f t="shared" si="2"/>
        <v>51882</v>
      </c>
      <c r="GK174" s="191">
        <f t="shared" si="2"/>
        <v>53497</v>
      </c>
      <c r="GL174" s="191">
        <f t="shared" si="2"/>
        <v>53755</v>
      </c>
      <c r="GM174" s="191">
        <f t="shared" si="2"/>
        <v>53876</v>
      </c>
      <c r="GN174" s="191">
        <f t="shared" si="2"/>
        <v>54111</v>
      </c>
      <c r="GO174" s="191">
        <f t="shared" si="2"/>
        <v>293887</v>
      </c>
      <c r="GP174" s="191">
        <f t="shared" si="2"/>
        <v>104828</v>
      </c>
      <c r="GQ174" s="191">
        <f t="shared" si="2"/>
        <v>215239</v>
      </c>
      <c r="GR174" s="191">
        <f t="shared" si="2"/>
        <v>442266</v>
      </c>
      <c r="GS174" s="191">
        <f t="shared" si="2"/>
        <v>613954</v>
      </c>
      <c r="GT174" s="191">
        <f t="shared" si="2"/>
        <v>657505</v>
      </c>
      <c r="GU174" s="191">
        <f t="shared" si="2"/>
        <v>355</v>
      </c>
      <c r="GV174" s="191">
        <f t="shared" si="2"/>
        <v>186495</v>
      </c>
      <c r="GW174" s="191">
        <f t="shared" ref="GW174:HU174" si="3">SUM(GW171:GW173)</f>
        <v>76807</v>
      </c>
      <c r="GX174" s="191">
        <f t="shared" si="3"/>
        <v>12452</v>
      </c>
      <c r="GY174" s="191">
        <f t="shared" si="3"/>
        <v>89259</v>
      </c>
      <c r="GZ174" s="191">
        <f t="shared" si="3"/>
        <v>669957</v>
      </c>
      <c r="HA174" s="191">
        <f t="shared" si="3"/>
        <v>58457</v>
      </c>
      <c r="HB174" s="190">
        <f t="shared" si="3"/>
        <v>39154.478860000003</v>
      </c>
      <c r="HC174" s="190">
        <f t="shared" si="3"/>
        <v>37187.921359999986</v>
      </c>
      <c r="HD174" s="190">
        <f t="shared" si="3"/>
        <v>16469.653999999999</v>
      </c>
      <c r="HE174" s="190">
        <f t="shared" si="3"/>
        <v>14497.619999999994</v>
      </c>
      <c r="HF174" s="190">
        <f t="shared" si="3"/>
        <v>0</v>
      </c>
      <c r="HG174" s="190">
        <f t="shared" si="3"/>
        <v>39610.910359999994</v>
      </c>
      <c r="HH174" s="190">
        <f t="shared" si="3"/>
        <v>6986</v>
      </c>
      <c r="HI174" s="190">
        <f t="shared" si="3"/>
        <v>89524</v>
      </c>
      <c r="HJ174" s="190">
        <f t="shared" si="3"/>
        <v>96510</v>
      </c>
      <c r="HK174" s="190">
        <f t="shared" si="3"/>
        <v>76957</v>
      </c>
      <c r="HL174" s="190">
        <f t="shared" si="3"/>
        <v>12567</v>
      </c>
      <c r="HN174" s="190">
        <f t="shared" si="3"/>
        <v>42704</v>
      </c>
      <c r="HO174" s="190">
        <f t="shared" si="3"/>
        <v>601150</v>
      </c>
      <c r="HP174" s="190">
        <f t="shared" si="3"/>
        <v>48174</v>
      </c>
      <c r="HQ174" s="190">
        <f t="shared" si="3"/>
        <v>13547</v>
      </c>
      <c r="HR174" s="190">
        <f t="shared" si="3"/>
        <v>18485</v>
      </c>
      <c r="HS174" s="190">
        <f t="shared" si="3"/>
        <v>643854</v>
      </c>
      <c r="HT174" s="190">
        <f t="shared" si="3"/>
        <v>104425</v>
      </c>
      <c r="HU174" s="190">
        <f t="shared" si="3"/>
        <v>22195.883327</v>
      </c>
    </row>
    <row r="175" spans="1:233" s="182" customFormat="1">
      <c r="A175" s="189"/>
      <c r="B175" s="189"/>
      <c r="FA175" s="190"/>
      <c r="FB175" s="190"/>
      <c r="FC175" s="190"/>
      <c r="FD175" s="190"/>
      <c r="FE175" s="190"/>
      <c r="FF175" s="190"/>
      <c r="FG175" s="190"/>
      <c r="FH175" s="190"/>
      <c r="FI175" s="190"/>
      <c r="FJ175" s="190"/>
      <c r="FK175" s="190"/>
      <c r="FL175" s="190"/>
      <c r="FM175" s="190"/>
      <c r="FN175" s="190"/>
      <c r="FO175" s="190"/>
      <c r="FP175" s="190"/>
      <c r="FQ175" s="190"/>
      <c r="FR175" s="190"/>
      <c r="FS175" s="190"/>
      <c r="FT175" s="190"/>
      <c r="FU175" s="190"/>
      <c r="FV175" s="190"/>
      <c r="FW175" s="190"/>
      <c r="FX175" s="190"/>
      <c r="FY175" s="190"/>
      <c r="FZ175" s="191"/>
      <c r="GA175" s="191"/>
      <c r="GB175" s="191"/>
      <c r="GC175" s="191"/>
      <c r="GD175" s="191"/>
      <c r="GE175" s="191"/>
      <c r="GF175" s="191"/>
      <c r="GG175" s="191"/>
      <c r="GH175" s="191"/>
      <c r="GI175" s="191"/>
      <c r="GJ175" s="191"/>
      <c r="GK175" s="191"/>
      <c r="GL175" s="191"/>
      <c r="GM175" s="191"/>
      <c r="GN175" s="191"/>
      <c r="GO175" s="191"/>
      <c r="GP175" s="191"/>
      <c r="GQ175" s="191"/>
      <c r="GR175" s="191"/>
      <c r="GS175" s="191"/>
      <c r="GT175" s="191"/>
      <c r="GU175" s="191"/>
      <c r="GV175" s="191"/>
      <c r="GW175" s="191"/>
      <c r="GX175" s="191"/>
      <c r="GY175" s="191"/>
      <c r="GZ175" s="191"/>
      <c r="HA175" s="191"/>
      <c r="HB175" s="190"/>
      <c r="HC175" s="190"/>
      <c r="HD175" s="190"/>
      <c r="HE175" s="190"/>
      <c r="HF175" s="190"/>
      <c r="HG175" s="190"/>
      <c r="HH175" s="190"/>
      <c r="HI175" s="190"/>
      <c r="HJ175" s="190"/>
      <c r="HK175" s="190"/>
      <c r="HL175" s="190"/>
      <c r="HM175" s="190"/>
      <c r="HN175" s="190"/>
      <c r="HO175" s="190"/>
      <c r="HP175" s="190"/>
      <c r="HQ175" s="190"/>
      <c r="HR175" s="190"/>
      <c r="HS175" s="190"/>
      <c r="HT175" s="190"/>
      <c r="HU175" s="190"/>
    </row>
    <row r="176" spans="1:233" s="182" customFormat="1">
      <c r="A176" s="189"/>
      <c r="B176" s="189"/>
      <c r="D176" s="182" t="s">
        <v>793</v>
      </c>
      <c r="H176" s="182">
        <f t="shared" ref="H176:BU176" si="4">H172+H171</f>
        <v>70443.305555555533</v>
      </c>
      <c r="I176" s="182">
        <f t="shared" si="4"/>
        <v>11341.183333333331</v>
      </c>
      <c r="J176" s="182">
        <f t="shared" si="4"/>
        <v>81784.488888888911</v>
      </c>
      <c r="K176" s="182">
        <f t="shared" si="4"/>
        <v>46664</v>
      </c>
      <c r="L176" s="182">
        <f t="shared" si="4"/>
        <v>307132</v>
      </c>
      <c r="M176" s="182">
        <f t="shared" si="4"/>
        <v>107151</v>
      </c>
      <c r="N176" s="182">
        <f t="shared" si="4"/>
        <v>214713</v>
      </c>
      <c r="O176" s="182">
        <f t="shared" si="4"/>
        <v>675660</v>
      </c>
      <c r="P176" s="182">
        <f t="shared" si="4"/>
        <v>628996</v>
      </c>
      <c r="Q176" s="182">
        <f t="shared" si="4"/>
        <v>460947</v>
      </c>
      <c r="R176" s="182">
        <f t="shared" si="4"/>
        <v>11372</v>
      </c>
      <c r="S176" s="182">
        <f t="shared" si="4"/>
        <v>45558.794444444451</v>
      </c>
      <c r="T176" s="182">
        <f t="shared" si="4"/>
        <v>49280.422222222231</v>
      </c>
      <c r="U176" s="182">
        <f t="shared" si="4"/>
        <v>49303.87777777778</v>
      </c>
      <c r="V176" s="182">
        <f t="shared" si="4"/>
        <v>49947.549999999988</v>
      </c>
      <c r="W176" s="182">
        <f t="shared" si="4"/>
        <v>50906.805555555569</v>
      </c>
      <c r="X176" s="182">
        <f t="shared" si="4"/>
        <v>49873.277777777766</v>
      </c>
      <c r="Y176" s="182">
        <f t="shared" si="4"/>
        <v>51170.105555555558</v>
      </c>
      <c r="Z176" s="182">
        <f t="shared" si="4"/>
        <v>51711.411111111105</v>
      </c>
      <c r="AA176" s="182">
        <f t="shared" si="4"/>
        <v>52771.12777777778</v>
      </c>
      <c r="AB176" s="182">
        <f t="shared" si="4"/>
        <v>54150.733333333344</v>
      </c>
      <c r="AC176" s="182">
        <f t="shared" si="4"/>
        <v>53913.505555555581</v>
      </c>
      <c r="AD176" s="182">
        <f t="shared" si="4"/>
        <v>51068.622222222213</v>
      </c>
      <c r="AE176" s="182">
        <f t="shared" si="4"/>
        <v>44624.683333333334</v>
      </c>
      <c r="AF176" s="182">
        <f t="shared" si="4"/>
        <v>300482.0388888889</v>
      </c>
      <c r="AG176" s="182">
        <f t="shared" si="4"/>
        <v>104482.5388888889</v>
      </c>
      <c r="AH176" s="182">
        <f t="shared" si="4"/>
        <v>203757.54444444444</v>
      </c>
      <c r="AI176" s="182">
        <f t="shared" si="4"/>
        <v>450523.37222222215</v>
      </c>
      <c r="AJ176" s="182">
        <f t="shared" si="4"/>
        <v>608722.12222222215</v>
      </c>
      <c r="AK176" s="182">
        <f t="shared" si="4"/>
        <v>654280.91666666674</v>
      </c>
      <c r="AL176" s="182">
        <f t="shared" si="4"/>
        <v>73194.161111111112</v>
      </c>
      <c r="AM176" s="182">
        <f t="shared" si="4"/>
        <v>11605.894444444444</v>
      </c>
      <c r="AN176" s="182">
        <f t="shared" si="4"/>
        <v>84800.055555555547</v>
      </c>
      <c r="AO176" s="182">
        <f t="shared" si="4"/>
        <v>665886.81111111096</v>
      </c>
      <c r="AP176" s="182">
        <f t="shared" si="4"/>
        <v>45223</v>
      </c>
      <c r="AQ176" s="182">
        <f t="shared" si="4"/>
        <v>48170</v>
      </c>
      <c r="AR176" s="182">
        <f t="shared" si="4"/>
        <v>50905</v>
      </c>
      <c r="AS176" s="182">
        <f t="shared" si="4"/>
        <v>51000</v>
      </c>
      <c r="AT176" s="182">
        <f t="shared" si="4"/>
        <v>51416</v>
      </c>
      <c r="AU176" s="182">
        <f t="shared" si="4"/>
        <v>52582</v>
      </c>
      <c r="AV176" s="182">
        <f t="shared" si="4"/>
        <v>51462</v>
      </c>
      <c r="AW176" s="182">
        <f t="shared" si="4"/>
        <v>52964</v>
      </c>
      <c r="AX176" s="182">
        <f t="shared" si="4"/>
        <v>53337</v>
      </c>
      <c r="AY176" s="182">
        <f t="shared" si="4"/>
        <v>54544</v>
      </c>
      <c r="AZ176" s="182">
        <f t="shared" si="4"/>
        <v>55701</v>
      </c>
      <c r="BA176" s="182">
        <f t="shared" si="4"/>
        <v>54573</v>
      </c>
      <c r="BB176" s="182">
        <f t="shared" si="4"/>
        <v>51896</v>
      </c>
      <c r="BC176" s="182">
        <f t="shared" si="4"/>
        <v>305535</v>
      </c>
      <c r="BD176" s="182">
        <f t="shared" si="4"/>
        <v>106301</v>
      </c>
      <c r="BE176" s="182">
        <f t="shared" si="4"/>
        <v>216714</v>
      </c>
      <c r="BF176" s="182">
        <f t="shared" si="4"/>
        <v>457059</v>
      </c>
      <c r="BG176" s="182">
        <f t="shared" si="4"/>
        <v>628550</v>
      </c>
      <c r="BH176" s="182">
        <f t="shared" si="4"/>
        <v>673773</v>
      </c>
      <c r="BI176" s="182">
        <f t="shared" si="4"/>
        <v>34878</v>
      </c>
      <c r="BJ176" s="182">
        <f t="shared" si="4"/>
        <v>10345</v>
      </c>
      <c r="BK176" s="182">
        <f t="shared" si="4"/>
        <v>353</v>
      </c>
      <c r="BL176" s="182">
        <f t="shared" si="4"/>
        <v>205245</v>
      </c>
      <c r="BM176" s="182">
        <f t="shared" si="4"/>
        <v>74559</v>
      </c>
      <c r="BN176" s="182">
        <f t="shared" si="4"/>
        <v>11802</v>
      </c>
      <c r="BO176" s="182">
        <f t="shared" si="4"/>
        <v>86361</v>
      </c>
      <c r="BP176" s="182">
        <f t="shared" si="4"/>
        <v>59187</v>
      </c>
      <c r="BQ176" s="182">
        <f t="shared" si="4"/>
        <v>11.872217387934899</v>
      </c>
      <c r="BR176" s="182">
        <f t="shared" si="4"/>
        <v>38498.608319999992</v>
      </c>
      <c r="BS176" s="182">
        <f t="shared" si="4"/>
        <v>36685.991320000008</v>
      </c>
      <c r="BT176" s="182">
        <f t="shared" si="4"/>
        <v>34252.434980000005</v>
      </c>
      <c r="BU176" s="182">
        <f t="shared" si="4"/>
        <v>38138.989880000023</v>
      </c>
      <c r="BV176" s="182">
        <f t="shared" ref="BV176:EI176" si="5">BV172+BV171</f>
        <v>12086</v>
      </c>
      <c r="BW176" s="182">
        <f t="shared" si="5"/>
        <v>11414</v>
      </c>
      <c r="BX176" s="182">
        <f t="shared" si="5"/>
        <v>24125.066656999996</v>
      </c>
      <c r="BY176" s="182">
        <f t="shared" si="5"/>
        <v>9926.1721819999984</v>
      </c>
      <c r="BZ176" s="182">
        <f t="shared" si="5"/>
        <v>34396.049946999992</v>
      </c>
      <c r="CA176" s="182">
        <f t="shared" si="5"/>
        <v>44322.222222222219</v>
      </c>
      <c r="CB176" s="182">
        <f t="shared" si="5"/>
        <v>47112.633333333324</v>
      </c>
      <c r="CC176" s="182">
        <f t="shared" si="5"/>
        <v>49804.588888888902</v>
      </c>
      <c r="CD176" s="182">
        <f t="shared" si="5"/>
        <v>49995.166666666664</v>
      </c>
      <c r="CE176" s="182">
        <f t="shared" si="5"/>
        <v>50416.705555555549</v>
      </c>
      <c r="CF176" s="182">
        <f t="shared" si="5"/>
        <v>51504.638888888891</v>
      </c>
      <c r="CG176" s="182">
        <f t="shared" si="5"/>
        <v>50313.505555555545</v>
      </c>
      <c r="CH176" s="182">
        <f t="shared" si="5"/>
        <v>51719.677777777782</v>
      </c>
      <c r="CI176" s="182">
        <f t="shared" si="5"/>
        <v>52012.288888888892</v>
      </c>
      <c r="CJ176" s="182">
        <f t="shared" si="5"/>
        <v>53221.205555555556</v>
      </c>
      <c r="CK176" s="182">
        <f t="shared" si="5"/>
        <v>54158.794444444444</v>
      </c>
      <c r="CL176" s="182">
        <f t="shared" si="5"/>
        <v>52709.000000000007</v>
      </c>
      <c r="CM176" s="182">
        <f t="shared" si="5"/>
        <v>45652.005555555552</v>
      </c>
      <c r="CN176" s="182">
        <f t="shared" si="5"/>
        <v>299147.23888888885</v>
      </c>
      <c r="CO176" s="182">
        <f t="shared" si="5"/>
        <v>103731.96666666667</v>
      </c>
      <c r="CP176" s="182">
        <f t="shared" si="5"/>
        <v>205741.00555555557</v>
      </c>
      <c r="CQ176" s="182">
        <f t="shared" si="5"/>
        <v>447201.42777777766</v>
      </c>
      <c r="CR176" s="182">
        <f t="shared" si="5"/>
        <v>608620.2111111111</v>
      </c>
      <c r="CS176" s="182">
        <f t="shared" si="5"/>
        <v>652942.43333333312</v>
      </c>
      <c r="CT176" s="182">
        <f t="shared" si="5"/>
        <v>75516.211111111101</v>
      </c>
      <c r="CU176" s="182">
        <f t="shared" si="5"/>
        <v>11690.838888888889</v>
      </c>
      <c r="CV176" s="182">
        <f t="shared" si="5"/>
        <v>87207.049999999988</v>
      </c>
      <c r="CW176" s="182">
        <f t="shared" si="5"/>
        <v>664633.27222222206</v>
      </c>
      <c r="CX176" s="182">
        <f t="shared" si="5"/>
        <v>22410.277770000001</v>
      </c>
      <c r="CY176" s="182">
        <f t="shared" si="5"/>
        <v>40636</v>
      </c>
      <c r="CZ176" s="182">
        <f t="shared" si="5"/>
        <v>4149</v>
      </c>
      <c r="DA176" s="182">
        <f t="shared" si="5"/>
        <v>44785</v>
      </c>
      <c r="DB176" s="182">
        <f t="shared" si="5"/>
        <v>46343</v>
      </c>
      <c r="DC176" s="182">
        <f t="shared" si="5"/>
        <v>48541</v>
      </c>
      <c r="DD176" s="182">
        <f t="shared" si="5"/>
        <v>51125</v>
      </c>
      <c r="DE176" s="182">
        <f t="shared" si="5"/>
        <v>51313</v>
      </c>
      <c r="DF176" s="182">
        <f t="shared" si="5"/>
        <v>51708</v>
      </c>
      <c r="DG176" s="182">
        <f t="shared" si="5"/>
        <v>52807</v>
      </c>
      <c r="DH176" s="182">
        <f t="shared" si="5"/>
        <v>51934</v>
      </c>
      <c r="DI176" s="182">
        <f t="shared" si="5"/>
        <v>53134</v>
      </c>
      <c r="DJ176" s="182">
        <f t="shared" si="5"/>
        <v>53823</v>
      </c>
      <c r="DK176" s="182">
        <f t="shared" si="5"/>
        <v>54783</v>
      </c>
      <c r="DL176" s="182">
        <f t="shared" si="5"/>
        <v>54980</v>
      </c>
      <c r="DM176" s="182">
        <f t="shared" si="5"/>
        <v>53541</v>
      </c>
      <c r="DN176" s="182">
        <f t="shared" si="5"/>
        <v>301837</v>
      </c>
      <c r="DO176" s="182">
        <f t="shared" si="5"/>
        <v>105068</v>
      </c>
      <c r="DP176" s="182">
        <f t="shared" si="5"/>
        <v>217127</v>
      </c>
      <c r="DQ176" s="182">
        <f t="shared" si="5"/>
        <v>451690</v>
      </c>
      <c r="DR176" s="182">
        <f t="shared" si="5"/>
        <v>624032</v>
      </c>
      <c r="DS176" s="182">
        <f t="shared" si="5"/>
        <v>668817</v>
      </c>
      <c r="DT176" s="182">
        <f t="shared" si="5"/>
        <v>349</v>
      </c>
      <c r="DU176" s="182">
        <f t="shared" si="5"/>
        <v>193684</v>
      </c>
      <c r="DV176" s="182">
        <f t="shared" si="5"/>
        <v>75917</v>
      </c>
      <c r="DW176" s="182">
        <f t="shared" si="5"/>
        <v>11761</v>
      </c>
      <c r="DX176" s="182">
        <f t="shared" si="5"/>
        <v>87678</v>
      </c>
      <c r="DY176" s="182">
        <f t="shared" si="5"/>
        <v>680578</v>
      </c>
      <c r="DZ176" s="182">
        <f t="shared" si="5"/>
        <v>61518</v>
      </c>
      <c r="EA176" s="182">
        <f t="shared" si="5"/>
        <v>38859.022649999999</v>
      </c>
      <c r="EB176" s="182">
        <f t="shared" si="5"/>
        <v>36965.574149999993</v>
      </c>
      <c r="EC176" s="182">
        <f t="shared" si="5"/>
        <v>16441.877</v>
      </c>
      <c r="ED176" s="182">
        <f t="shared" si="5"/>
        <v>14452.014999999996</v>
      </c>
      <c r="EE176" s="182">
        <f t="shared" si="5"/>
        <v>52.273000000000003</v>
      </c>
      <c r="EF176" s="182">
        <f t="shared" si="5"/>
        <v>39593.387350000012</v>
      </c>
      <c r="EG176" s="182">
        <f t="shared" si="5"/>
        <v>11.813439942512213</v>
      </c>
      <c r="EH176" s="182">
        <f t="shared" si="5"/>
        <v>0</v>
      </c>
      <c r="EI176" s="182">
        <f t="shared" si="5"/>
        <v>44154</v>
      </c>
      <c r="EJ176" s="182">
        <f t="shared" ref="EJ176:FC176" si="6">EJ172+EJ171</f>
        <v>616721</v>
      </c>
      <c r="EK176" s="182">
        <f t="shared" si="6"/>
        <v>46070</v>
      </c>
      <c r="EL176" s="182">
        <f t="shared" si="6"/>
        <v>12360</v>
      </c>
      <c r="EM176" s="182">
        <f t="shared" si="6"/>
        <v>17342</v>
      </c>
      <c r="EN176" s="182">
        <f t="shared" si="6"/>
        <v>660875</v>
      </c>
      <c r="EO176" s="182">
        <f t="shared" si="6"/>
        <v>7541</v>
      </c>
      <c r="EP176" s="182">
        <f t="shared" si="6"/>
        <v>88090</v>
      </c>
      <c r="EQ176" s="182">
        <f t="shared" si="6"/>
        <v>95632</v>
      </c>
      <c r="ER176" s="182">
        <f t="shared" si="6"/>
        <v>76172</v>
      </c>
      <c r="ES176" s="182">
        <f t="shared" si="6"/>
        <v>11918</v>
      </c>
      <c r="ET176" s="182">
        <f t="shared" si="6"/>
        <v>4685</v>
      </c>
      <c r="EU176" s="182">
        <f t="shared" si="6"/>
        <v>12397.861999999999</v>
      </c>
      <c r="EV176" s="182">
        <f t="shared" si="6"/>
        <v>638.17200000000003</v>
      </c>
      <c r="EW176" s="182">
        <f t="shared" si="6"/>
        <v>2762.0749999999998</v>
      </c>
      <c r="EX176" s="182">
        <f t="shared" si="6"/>
        <v>1811.864</v>
      </c>
      <c r="EY176" s="182">
        <f t="shared" si="6"/>
        <v>9172.7009999999991</v>
      </c>
      <c r="EZ176" s="182">
        <f t="shared" si="6"/>
        <v>26782.674000000003</v>
      </c>
      <c r="FA176" s="190">
        <f t="shared" si="6"/>
        <v>3507.1055555555554</v>
      </c>
      <c r="FB176" s="190">
        <f>FB172-FB173</f>
        <v>33712.688888888893</v>
      </c>
      <c r="FC176" s="190">
        <f t="shared" si="6"/>
        <v>43655.961111111115</v>
      </c>
      <c r="FD176" s="190">
        <f>FD172+FD171+FD173</f>
        <v>45005.294444444444</v>
      </c>
      <c r="FE176" s="190">
        <f t="shared" ref="FE176:HQ176" si="7">FE172+FE171+FE173</f>
        <v>47234.461111111101</v>
      </c>
      <c r="FF176" s="190">
        <f t="shared" si="7"/>
        <v>49885.066666666673</v>
      </c>
      <c r="FG176" s="190">
        <f t="shared" si="7"/>
        <v>50047.39444444445</v>
      </c>
      <c r="FH176" s="190">
        <f t="shared" si="7"/>
        <v>50475.466666666674</v>
      </c>
      <c r="FI176" s="190">
        <f t="shared" si="7"/>
        <v>51480.23333333333</v>
      </c>
      <c r="FJ176" s="190">
        <f t="shared" si="7"/>
        <v>50499.411111111127</v>
      </c>
      <c r="FK176" s="190">
        <f t="shared" si="7"/>
        <v>51718.444444444438</v>
      </c>
      <c r="FL176" s="190">
        <f t="shared" si="7"/>
        <v>52373.433333333342</v>
      </c>
      <c r="FM176" s="190">
        <f t="shared" si="7"/>
        <v>53075.172222222231</v>
      </c>
      <c r="FN176" s="190">
        <f t="shared" si="7"/>
        <v>52982.06666666668</v>
      </c>
      <c r="FO176" s="190">
        <f t="shared" si="7"/>
        <v>47035.505555555559</v>
      </c>
      <c r="FP176" s="190">
        <f t="shared" si="7"/>
        <v>294127.91666666663</v>
      </c>
      <c r="FQ176" s="190">
        <f t="shared" si="7"/>
        <v>102217.85555555555</v>
      </c>
      <c r="FR176" s="190">
        <f t="shared" si="7"/>
        <v>205466.17777777775</v>
      </c>
      <c r="FS176" s="190">
        <f t="shared" si="7"/>
        <v>440004.33888888883</v>
      </c>
      <c r="FT176" s="190">
        <f t="shared" si="7"/>
        <v>601811.94999999995</v>
      </c>
      <c r="FU176" s="190">
        <f t="shared" si="7"/>
        <v>645470.51666666684</v>
      </c>
      <c r="FV176" s="190">
        <f t="shared" si="7"/>
        <v>76300.349999999991</v>
      </c>
      <c r="FW176" s="190">
        <f t="shared" si="7"/>
        <v>12108.933333333332</v>
      </c>
      <c r="FX176" s="190">
        <f t="shared" si="7"/>
        <v>88409.283333333311</v>
      </c>
      <c r="FY176" s="190">
        <f t="shared" si="7"/>
        <v>657579.45000000007</v>
      </c>
      <c r="FZ176" s="191">
        <f t="shared" si="7"/>
        <v>3494</v>
      </c>
      <c r="GA176" s="191">
        <f t="shared" si="7"/>
        <v>40057</v>
      </c>
      <c r="GB176" s="191">
        <f t="shared" si="7"/>
        <v>43551</v>
      </c>
      <c r="GC176" s="191">
        <f t="shared" si="7"/>
        <v>45272</v>
      </c>
      <c r="GD176" s="191">
        <f t="shared" si="7"/>
        <v>46283</v>
      </c>
      <c r="GE176" s="191">
        <f t="shared" si="7"/>
        <v>48569</v>
      </c>
      <c r="GF176" s="191">
        <f t="shared" si="7"/>
        <v>50975</v>
      </c>
      <c r="GG176" s="191">
        <f t="shared" si="7"/>
        <v>51178</v>
      </c>
      <c r="GH176" s="191">
        <f t="shared" si="7"/>
        <v>51610</v>
      </c>
      <c r="GI176" s="191">
        <f t="shared" si="7"/>
        <v>52946</v>
      </c>
      <c r="GJ176" s="191">
        <f t="shared" si="7"/>
        <v>51882</v>
      </c>
      <c r="GK176" s="191">
        <f t="shared" si="7"/>
        <v>53497</v>
      </c>
      <c r="GL176" s="191">
        <f t="shared" si="7"/>
        <v>53755</v>
      </c>
      <c r="GM176" s="191">
        <f t="shared" si="7"/>
        <v>53876</v>
      </c>
      <c r="GN176" s="191">
        <f t="shared" si="7"/>
        <v>54111</v>
      </c>
      <c r="GO176" s="191">
        <f t="shared" si="7"/>
        <v>293887</v>
      </c>
      <c r="GP176" s="191">
        <f t="shared" si="7"/>
        <v>104828</v>
      </c>
      <c r="GQ176" s="191">
        <f t="shared" si="7"/>
        <v>215239</v>
      </c>
      <c r="GR176" s="191">
        <f t="shared" si="7"/>
        <v>442266</v>
      </c>
      <c r="GS176" s="191">
        <f t="shared" si="7"/>
        <v>613954</v>
      </c>
      <c r="GT176" s="191">
        <f t="shared" si="7"/>
        <v>657505</v>
      </c>
      <c r="GU176" s="191">
        <f t="shared" si="7"/>
        <v>355</v>
      </c>
      <c r="GV176" s="191">
        <f t="shared" si="7"/>
        <v>186495</v>
      </c>
      <c r="GW176" s="191">
        <f t="shared" si="7"/>
        <v>76807</v>
      </c>
      <c r="GX176" s="191">
        <f t="shared" si="7"/>
        <v>12452</v>
      </c>
      <c r="GY176" s="191">
        <f t="shared" si="7"/>
        <v>89259</v>
      </c>
      <c r="GZ176" s="191">
        <f t="shared" si="7"/>
        <v>669957</v>
      </c>
      <c r="HA176" s="191">
        <f t="shared" si="7"/>
        <v>58457</v>
      </c>
      <c r="HB176" s="190">
        <f t="shared" si="7"/>
        <v>39154.478860000003</v>
      </c>
      <c r="HC176" s="190">
        <f t="shared" si="7"/>
        <v>37187.921359999986</v>
      </c>
      <c r="HD176" s="190">
        <f t="shared" si="7"/>
        <v>16469.653999999999</v>
      </c>
      <c r="HE176" s="190">
        <f t="shared" si="7"/>
        <v>14497.619999999994</v>
      </c>
      <c r="HF176" s="190">
        <f t="shared" si="7"/>
        <v>0</v>
      </c>
      <c r="HG176" s="190">
        <f t="shared" si="7"/>
        <v>39610.910359999994</v>
      </c>
      <c r="HH176" s="190">
        <f t="shared" si="7"/>
        <v>6986</v>
      </c>
      <c r="HI176" s="190">
        <f t="shared" si="7"/>
        <v>89524</v>
      </c>
      <c r="HJ176" s="190">
        <f t="shared" si="7"/>
        <v>96510</v>
      </c>
      <c r="HK176" s="190">
        <f t="shared" si="7"/>
        <v>76957</v>
      </c>
      <c r="HL176" s="190">
        <f t="shared" si="7"/>
        <v>12567</v>
      </c>
      <c r="HM176" s="190"/>
      <c r="HN176" s="190">
        <f t="shared" si="7"/>
        <v>42704</v>
      </c>
      <c r="HO176" s="190">
        <f t="shared" si="7"/>
        <v>601150</v>
      </c>
      <c r="HP176" s="190">
        <f t="shared" si="7"/>
        <v>48174</v>
      </c>
      <c r="HQ176" s="190">
        <f t="shared" si="7"/>
        <v>13547</v>
      </c>
      <c r="HR176" s="190">
        <f t="shared" ref="HR176:HU176" si="8">HR172+HR171+HR173</f>
        <v>18485</v>
      </c>
      <c r="HS176" s="190">
        <f t="shared" si="8"/>
        <v>643854</v>
      </c>
      <c r="HT176" s="190">
        <f t="shared" si="8"/>
        <v>104425</v>
      </c>
      <c r="HU176" s="190">
        <f t="shared" si="8"/>
        <v>22195.883327</v>
      </c>
    </row>
    <row r="177" spans="1:229">
      <c r="DN177" s="184"/>
      <c r="DO177" s="184"/>
      <c r="DP177" s="184"/>
      <c r="DQ177" s="184"/>
      <c r="DR177" s="184"/>
      <c r="DS177" s="184"/>
    </row>
    <row r="178" spans="1:229">
      <c r="D178" s="157" t="s">
        <v>893</v>
      </c>
      <c r="AK178" s="170"/>
      <c r="FA178" s="157" t="b">
        <v>1</v>
      </c>
      <c r="FB178" s="157" t="b">
        <v>1</v>
      </c>
      <c r="FC178" s="157" t="b">
        <v>1</v>
      </c>
      <c r="FD178" s="157" t="b">
        <v>1</v>
      </c>
      <c r="FE178" s="157" t="b">
        <v>1</v>
      </c>
      <c r="FF178" s="157" t="b">
        <v>1</v>
      </c>
      <c r="FG178" s="157" t="b">
        <v>1</v>
      </c>
      <c r="FH178" s="157" t="b">
        <v>1</v>
      </c>
      <c r="FI178" s="157" t="b">
        <v>1</v>
      </c>
      <c r="FJ178" s="157" t="b">
        <v>1</v>
      </c>
      <c r="FK178" s="157" t="b">
        <v>1</v>
      </c>
      <c r="FL178" s="157" t="b">
        <v>1</v>
      </c>
      <c r="FM178" s="157" t="b">
        <v>1</v>
      </c>
      <c r="FN178" s="157" t="b">
        <v>1</v>
      </c>
      <c r="FO178" s="157" t="b">
        <v>1</v>
      </c>
      <c r="FV178" s="157" t="b">
        <v>1</v>
      </c>
      <c r="FW178" s="157" t="b">
        <v>1</v>
      </c>
      <c r="HP178" s="194"/>
    </row>
    <row r="179" spans="1:229">
      <c r="H179" s="173"/>
      <c r="I179" s="173"/>
      <c r="J179" s="173"/>
      <c r="K179" s="173"/>
      <c r="L179" s="173"/>
      <c r="M179" s="173"/>
      <c r="N179" s="173"/>
      <c r="O179" s="173"/>
      <c r="P179" s="173"/>
      <c r="Q179" s="173"/>
      <c r="R179" s="173"/>
      <c r="S179" s="173"/>
      <c r="T179" s="173"/>
      <c r="U179" s="173"/>
      <c r="V179" s="173"/>
      <c r="W179" s="173"/>
      <c r="X179" s="173"/>
      <c r="Y179" s="173"/>
      <c r="Z179" s="173"/>
      <c r="AA179" s="173"/>
      <c r="AB179" s="173"/>
      <c r="AC179" s="173"/>
      <c r="AD179" s="173"/>
      <c r="AE179" s="173"/>
      <c r="AF179" s="173"/>
      <c r="AG179" s="173"/>
      <c r="AH179" s="173"/>
      <c r="AI179" s="173"/>
      <c r="AJ179" s="173"/>
      <c r="AK179" s="173"/>
      <c r="AL179" s="173"/>
      <c r="AM179" s="173"/>
      <c r="AN179" s="173"/>
      <c r="AO179" s="173"/>
      <c r="AP179" s="173"/>
      <c r="AQ179" s="173"/>
      <c r="AR179" s="173"/>
      <c r="AS179" s="173"/>
      <c r="AT179" s="173"/>
      <c r="AU179" s="173"/>
      <c r="AV179" s="173"/>
      <c r="AW179" s="173"/>
      <c r="AX179" s="173"/>
      <c r="AY179" s="173"/>
      <c r="AZ179" s="173"/>
      <c r="BA179" s="173"/>
      <c r="BB179" s="173"/>
      <c r="BC179" s="173"/>
      <c r="BD179" s="173"/>
      <c r="BE179" s="173"/>
      <c r="BF179" s="173"/>
      <c r="BG179" s="173"/>
      <c r="BH179" s="173"/>
      <c r="BI179" s="173"/>
      <c r="BJ179" s="173"/>
      <c r="BK179" s="173"/>
      <c r="BL179" s="173"/>
      <c r="BM179" s="173"/>
      <c r="BN179" s="173"/>
      <c r="BO179" s="173"/>
      <c r="BP179" s="173"/>
      <c r="BQ179" s="173"/>
      <c r="BR179" s="173"/>
      <c r="BS179" s="173"/>
      <c r="BT179" s="173"/>
      <c r="BU179" s="173"/>
      <c r="BV179" s="173"/>
      <c r="BW179" s="173"/>
      <c r="BX179" s="173"/>
      <c r="BY179" s="173"/>
      <c r="BZ179" s="173"/>
      <c r="CA179" s="173"/>
      <c r="CB179" s="173"/>
      <c r="CC179" s="173"/>
      <c r="CD179" s="173"/>
      <c r="CE179" s="173"/>
      <c r="CF179" s="173"/>
      <c r="CG179" s="173"/>
      <c r="CH179" s="173"/>
      <c r="CI179" s="173"/>
      <c r="CJ179" s="173"/>
      <c r="CK179" s="173"/>
      <c r="CL179" s="173"/>
      <c r="CM179" s="173"/>
      <c r="CN179" s="173"/>
      <c r="CO179" s="173"/>
      <c r="CP179" s="173"/>
      <c r="CQ179" s="173"/>
      <c r="CR179" s="173"/>
      <c r="CS179" s="173"/>
      <c r="CT179" s="173"/>
      <c r="CU179" s="173"/>
      <c r="CV179" s="173"/>
      <c r="CW179" s="173"/>
      <c r="CX179" s="173"/>
      <c r="CY179" s="173"/>
      <c r="CZ179" s="173"/>
      <c r="DA179" s="173"/>
      <c r="DB179" s="173"/>
      <c r="DC179" s="173"/>
      <c r="DD179" s="173"/>
      <c r="DE179" s="173"/>
      <c r="DF179" s="173"/>
      <c r="DG179" s="173"/>
      <c r="DH179" s="173"/>
      <c r="DI179" s="173"/>
      <c r="DJ179" s="173"/>
      <c r="DK179" s="173"/>
      <c r="DL179" s="173"/>
      <c r="DM179" s="173"/>
      <c r="DN179" s="173"/>
      <c r="DO179" s="173"/>
      <c r="DP179" s="173"/>
      <c r="DQ179" s="173"/>
      <c r="DR179" s="173"/>
      <c r="DS179" s="173"/>
      <c r="DT179" s="173"/>
      <c r="DU179" s="173"/>
      <c r="DV179" s="173"/>
      <c r="DW179" s="173"/>
      <c r="DX179" s="173"/>
      <c r="DY179" s="173"/>
      <c r="DZ179" s="173"/>
      <c r="EA179" s="173"/>
      <c r="EB179" s="173"/>
      <c r="EC179" s="173"/>
      <c r="ED179" s="173"/>
      <c r="EE179" s="173"/>
      <c r="EF179" s="173"/>
      <c r="EG179" s="173"/>
      <c r="EH179" s="173"/>
      <c r="EI179" s="173"/>
      <c r="EJ179" s="173"/>
      <c r="EK179" s="173"/>
      <c r="EL179" s="173"/>
      <c r="EM179" s="173"/>
      <c r="EN179" s="173"/>
      <c r="EO179" s="173"/>
      <c r="EP179" s="173"/>
      <c r="EQ179" s="173"/>
      <c r="ER179" s="173"/>
      <c r="ES179" s="173"/>
      <c r="ET179" s="173"/>
      <c r="EU179" s="173"/>
      <c r="EV179" s="173"/>
      <c r="EW179" s="173"/>
      <c r="EX179" s="173"/>
      <c r="EY179" s="173"/>
      <c r="EZ179" s="173"/>
      <c r="FA179" s="170"/>
      <c r="FB179" s="170"/>
      <c r="FC179" s="170"/>
      <c r="FD179" s="170"/>
      <c r="FE179" s="170"/>
      <c r="FF179" s="170"/>
      <c r="FG179" s="170"/>
      <c r="FH179" s="170"/>
      <c r="FI179" s="170"/>
      <c r="FJ179" s="170"/>
      <c r="FK179" s="170"/>
      <c r="FL179" s="170"/>
      <c r="FM179" s="170"/>
      <c r="FN179" s="170"/>
      <c r="FO179" s="170"/>
      <c r="FP179" s="170"/>
      <c r="FQ179" s="170"/>
      <c r="FR179" s="170"/>
      <c r="FS179" s="170"/>
      <c r="FT179" s="170"/>
      <c r="FU179" s="170"/>
      <c r="FV179" s="173"/>
      <c r="FW179" s="173"/>
      <c r="FX179" s="173"/>
      <c r="FY179" s="173"/>
      <c r="FZ179" s="173"/>
      <c r="GA179" s="173"/>
      <c r="GB179" s="173"/>
      <c r="GC179" s="173"/>
      <c r="GD179" s="173"/>
      <c r="GE179" s="173"/>
      <c r="GF179" s="173"/>
      <c r="GG179" s="173"/>
      <c r="GH179" s="173"/>
      <c r="GI179" s="173"/>
      <c r="GJ179" s="173"/>
      <c r="GK179" s="173"/>
      <c r="GL179" s="173"/>
      <c r="GM179" s="173"/>
      <c r="GN179" s="173"/>
      <c r="GO179" s="173"/>
      <c r="GP179" s="173"/>
      <c r="GQ179" s="173"/>
      <c r="GR179" s="173"/>
      <c r="GS179" s="173"/>
      <c r="GT179" s="173"/>
      <c r="GU179" s="173"/>
      <c r="GV179" s="173"/>
      <c r="GW179" s="173"/>
      <c r="GX179" s="173"/>
      <c r="GY179" s="173"/>
      <c r="GZ179" s="173"/>
      <c r="HA179" s="182"/>
      <c r="HC179" s="182"/>
      <c r="HD179" s="182"/>
      <c r="HE179" s="182"/>
      <c r="HF179" s="182"/>
    </row>
    <row r="180" spans="1:229">
      <c r="GT180" s="173"/>
      <c r="GU180" s="173"/>
      <c r="GV180" s="173"/>
      <c r="GW180" s="173"/>
      <c r="GX180" s="173"/>
      <c r="GY180" s="173"/>
      <c r="GZ180" s="173"/>
      <c r="HA180" s="173"/>
      <c r="HB180" s="173"/>
      <c r="HC180" s="173"/>
      <c r="HD180" s="173"/>
      <c r="HE180" s="173"/>
      <c r="HF180" s="173"/>
    </row>
    <row r="181" spans="1:229">
      <c r="B181" s="158" t="s">
        <v>894</v>
      </c>
      <c r="H181" s="170"/>
      <c r="I181" s="170"/>
      <c r="J181" s="170"/>
      <c r="K181" s="170"/>
      <c r="L181" s="170"/>
      <c r="M181" s="170"/>
      <c r="N181" s="170"/>
      <c r="O181" s="170"/>
      <c r="P181" s="170"/>
      <c r="Q181" s="170"/>
      <c r="R181" s="170"/>
      <c r="S181" s="170"/>
      <c r="T181" s="170"/>
      <c r="U181" s="170"/>
      <c r="V181" s="170"/>
      <c r="W181" s="170"/>
      <c r="X181" s="170"/>
      <c r="Y181" s="170"/>
      <c r="Z181" s="170"/>
      <c r="AA181" s="170"/>
      <c r="AB181" s="170"/>
      <c r="AC181" s="170"/>
      <c r="AD181" s="170"/>
      <c r="AE181" s="170"/>
      <c r="AF181" s="170"/>
      <c r="AG181" s="170"/>
      <c r="AH181" s="170"/>
      <c r="AI181" s="170"/>
      <c r="AJ181" s="170"/>
      <c r="AK181" s="170"/>
      <c r="AL181" s="170"/>
      <c r="AM181" s="170"/>
      <c r="AN181" s="170"/>
      <c r="AO181" s="170"/>
      <c r="AP181" s="170"/>
      <c r="AQ181" s="170"/>
      <c r="AR181" s="170"/>
      <c r="AS181" s="170"/>
      <c r="AT181" s="170"/>
      <c r="AU181" s="170"/>
      <c r="AV181" s="170"/>
      <c r="AW181" s="170"/>
      <c r="AX181" s="170"/>
      <c r="AY181" s="170"/>
      <c r="AZ181" s="170"/>
      <c r="BA181" s="170"/>
      <c r="BB181" s="170"/>
      <c r="BC181" s="170"/>
      <c r="BD181" s="170"/>
      <c r="BE181" s="170"/>
      <c r="BF181" s="170"/>
      <c r="BG181" s="170"/>
      <c r="BH181" s="170"/>
      <c r="BI181" s="170"/>
      <c r="BJ181" s="170"/>
      <c r="BK181" s="170"/>
      <c r="BL181" s="170"/>
      <c r="BM181" s="170"/>
      <c r="BN181" s="170"/>
      <c r="BO181" s="170"/>
      <c r="BP181" s="170"/>
      <c r="BQ181" s="170"/>
      <c r="BR181" s="170"/>
      <c r="BS181" s="170"/>
      <c r="BT181" s="170"/>
      <c r="BU181" s="170"/>
      <c r="BV181" s="170"/>
      <c r="BW181" s="170"/>
      <c r="BX181" s="170"/>
      <c r="BY181" s="170"/>
      <c r="BZ181" s="170"/>
      <c r="CA181" s="170"/>
      <c r="CB181" s="170"/>
      <c r="CC181" s="170"/>
      <c r="CD181" s="170"/>
      <c r="CE181" s="170"/>
      <c r="CF181" s="170"/>
      <c r="CG181" s="170"/>
      <c r="CH181" s="170"/>
      <c r="CI181" s="170"/>
      <c r="CJ181" s="170"/>
      <c r="CK181" s="170"/>
      <c r="CL181" s="170"/>
      <c r="CM181" s="170"/>
      <c r="CN181" s="170"/>
      <c r="CO181" s="170"/>
      <c r="CP181" s="170"/>
      <c r="CQ181" s="170"/>
      <c r="CR181" s="170"/>
      <c r="CS181" s="170"/>
      <c r="CT181" s="170"/>
      <c r="CU181" s="170"/>
      <c r="CV181" s="170"/>
      <c r="CW181" s="170"/>
      <c r="CX181" s="170"/>
      <c r="CY181" s="170"/>
      <c r="CZ181" s="170"/>
      <c r="DA181" s="170"/>
      <c r="DB181" s="170"/>
      <c r="DC181" s="170"/>
      <c r="DD181" s="170"/>
      <c r="DE181" s="170"/>
      <c r="DF181" s="170"/>
      <c r="DH181" s="170"/>
      <c r="DI181" s="170"/>
      <c r="DJ181" s="170"/>
      <c r="DK181" s="170"/>
      <c r="DL181" s="170"/>
      <c r="DM181" s="170"/>
      <c r="DN181" s="170"/>
      <c r="DO181" s="170"/>
      <c r="DP181" s="170"/>
      <c r="DQ181" s="170"/>
      <c r="DR181" s="170"/>
      <c r="DS181" s="170"/>
      <c r="DT181" s="170"/>
      <c r="DU181" s="170"/>
      <c r="DV181" s="170"/>
      <c r="DW181" s="170"/>
      <c r="DX181" s="170"/>
      <c r="DY181" s="170"/>
      <c r="DZ181" s="170"/>
      <c r="EA181" s="170"/>
      <c r="EB181" s="170"/>
      <c r="EC181" s="170"/>
      <c r="ED181" s="170"/>
      <c r="EE181" s="170"/>
      <c r="EF181" s="170"/>
      <c r="EG181" s="170"/>
      <c r="EH181" s="170"/>
      <c r="EI181" s="170"/>
      <c r="EJ181" s="170"/>
      <c r="EK181" s="170"/>
      <c r="EL181" s="170"/>
      <c r="EM181" s="170"/>
      <c r="EN181" s="170"/>
      <c r="EO181" s="170"/>
      <c r="EP181" s="170"/>
      <c r="EQ181" s="170"/>
      <c r="ER181" s="170"/>
      <c r="ES181" s="170"/>
      <c r="ET181" s="170"/>
      <c r="FA181" s="173">
        <v>73.072222222222223</v>
      </c>
      <c r="FB181" s="173">
        <v>464.26666666666671</v>
      </c>
      <c r="FC181" s="173">
        <v>537.33888888888896</v>
      </c>
      <c r="FD181" s="173">
        <v>514.37777777777774</v>
      </c>
      <c r="FE181" s="173">
        <v>545.48333333333323</v>
      </c>
      <c r="FF181" s="173">
        <v>513.93888888888887</v>
      </c>
      <c r="FG181" s="173">
        <v>561.55555555555554</v>
      </c>
      <c r="FH181" s="173">
        <v>534.99444444444453</v>
      </c>
      <c r="FI181" s="173">
        <v>549.90555555555557</v>
      </c>
      <c r="FJ181" s="173">
        <v>512.12222222222226</v>
      </c>
      <c r="FK181" s="173">
        <v>456.58333333333331</v>
      </c>
      <c r="FL181" s="173">
        <v>285.22222222222223</v>
      </c>
      <c r="FM181" s="173">
        <v>213.61111111111111</v>
      </c>
      <c r="FN181" s="173">
        <v>170.67222222222222</v>
      </c>
      <c r="FO181" s="173">
        <v>137.74444444444444</v>
      </c>
      <c r="FP181" s="173">
        <v>3220.2555555555555</v>
      </c>
      <c r="FQ181" s="173">
        <v>968.70555555555575</v>
      </c>
      <c r="FR181" s="157">
        <v>807.25</v>
      </c>
      <c r="FS181" s="157">
        <v>4726.3</v>
      </c>
      <c r="FT181" s="157">
        <v>4996.2111111111117</v>
      </c>
      <c r="FU181" s="157">
        <v>5533.5500000000011</v>
      </c>
      <c r="FV181" s="157">
        <v>496.8388888888889</v>
      </c>
      <c r="FW181" s="157">
        <v>18.372222222222224</v>
      </c>
      <c r="FX181" s="157">
        <v>515.21111111111111</v>
      </c>
      <c r="FY181" s="157">
        <v>5551.9222222222234</v>
      </c>
    </row>
    <row r="182" spans="1:229">
      <c r="B182" s="158" t="s">
        <v>895</v>
      </c>
      <c r="FA182" s="173">
        <v>1.1055555555555556</v>
      </c>
      <c r="FB182" s="173">
        <v>59.077777777777776</v>
      </c>
      <c r="FC182" s="173">
        <v>60.18333333333333</v>
      </c>
      <c r="FD182" s="173">
        <v>62.65</v>
      </c>
      <c r="FE182" s="173">
        <v>76.405555555555551</v>
      </c>
      <c r="FF182" s="173">
        <v>54.405555555555559</v>
      </c>
      <c r="FG182" s="173">
        <v>56.361111111111114</v>
      </c>
      <c r="FH182" s="173">
        <v>52.572222222222223</v>
      </c>
      <c r="FI182" s="173">
        <v>43.661111111111111</v>
      </c>
      <c r="FJ182" s="173">
        <v>18.344444444444445</v>
      </c>
      <c r="FK182" s="173">
        <v>22.872222222222224</v>
      </c>
      <c r="FL182" s="173">
        <v>114.3</v>
      </c>
      <c r="FM182" s="173">
        <v>108.91111111111111</v>
      </c>
      <c r="FN182" s="173">
        <v>92.3</v>
      </c>
      <c r="FO182" s="173">
        <v>75.533333333333331</v>
      </c>
      <c r="FP182" s="173">
        <v>346.05555555555554</v>
      </c>
      <c r="FQ182" s="173">
        <v>41.216666666666669</v>
      </c>
      <c r="FR182" s="173">
        <v>391.04444444444442</v>
      </c>
      <c r="FS182" s="173">
        <v>447.45555555555552</v>
      </c>
      <c r="FT182" s="173">
        <v>778.31666666666661</v>
      </c>
      <c r="FU182" s="173">
        <v>838.5</v>
      </c>
      <c r="FV182" s="173">
        <v>80.333333333333329</v>
      </c>
      <c r="FW182" s="173">
        <v>0.6</v>
      </c>
      <c r="FX182" s="173">
        <v>80.933333333333337</v>
      </c>
      <c r="FY182" s="173">
        <v>839.09999999999991</v>
      </c>
    </row>
    <row r="183" spans="1:229">
      <c r="B183" s="158" t="s">
        <v>896</v>
      </c>
      <c r="FA183" s="182">
        <v>0</v>
      </c>
      <c r="FB183" s="182">
        <v>87.87777777777778</v>
      </c>
      <c r="FC183" s="182">
        <v>87.87777777777778</v>
      </c>
      <c r="FD183" s="182">
        <v>87.811111111111103</v>
      </c>
      <c r="FE183" s="182">
        <v>65.37222222222222</v>
      </c>
      <c r="FF183" s="182">
        <v>75.37777777777778</v>
      </c>
      <c r="FG183" s="182">
        <v>80.855555555555554</v>
      </c>
      <c r="FH183" s="182">
        <v>71.322222222222223</v>
      </c>
      <c r="FI183" s="182">
        <v>79.705555555555549</v>
      </c>
      <c r="FJ183" s="182">
        <v>55.105555555555554</v>
      </c>
      <c r="FK183" s="182">
        <v>39.25</v>
      </c>
      <c r="FL183" s="182">
        <v>0</v>
      </c>
      <c r="FM183" s="182">
        <v>0</v>
      </c>
      <c r="FN183" s="182">
        <v>0</v>
      </c>
      <c r="FO183" s="182">
        <v>0</v>
      </c>
      <c r="FP183" s="182">
        <v>460.44444444444446</v>
      </c>
      <c r="FQ183" s="182">
        <v>94.355555555555554</v>
      </c>
      <c r="FR183" s="182">
        <v>0</v>
      </c>
      <c r="FS183" s="182">
        <v>642.67777777777781</v>
      </c>
      <c r="FT183" s="182">
        <v>554.79999999999995</v>
      </c>
      <c r="FU183" s="182">
        <v>642.67777777777781</v>
      </c>
      <c r="FV183" s="182">
        <v>118.06666666666666</v>
      </c>
      <c r="FW183" s="182">
        <v>6.7888888888888896</v>
      </c>
      <c r="FX183" s="182">
        <v>124.85555555555555</v>
      </c>
      <c r="FY183" s="182">
        <v>649.4666666666667</v>
      </c>
    </row>
    <row r="184" spans="1:229">
      <c r="A184" s="205" t="s">
        <v>897</v>
      </c>
      <c r="B184" s="205"/>
      <c r="C184" s="205"/>
      <c r="D184" s="205"/>
      <c r="E184" s="157" t="s">
        <v>898</v>
      </c>
      <c r="H184" s="173">
        <v>83.00555555555556</v>
      </c>
      <c r="I184" s="173">
        <v>10.944444444444445</v>
      </c>
      <c r="J184" s="173">
        <v>93.949999999999989</v>
      </c>
      <c r="K184" s="173">
        <v>141</v>
      </c>
      <c r="L184" s="173">
        <v>757</v>
      </c>
      <c r="M184" s="173">
        <v>48</v>
      </c>
      <c r="N184" s="173">
        <v>0</v>
      </c>
      <c r="O184" s="173">
        <v>946</v>
      </c>
      <c r="P184" s="173">
        <v>805</v>
      </c>
      <c r="Q184" s="173">
        <v>946</v>
      </c>
      <c r="R184" s="173">
        <v>8</v>
      </c>
      <c r="S184" s="173">
        <v>141.46111111111111</v>
      </c>
      <c r="T184" s="173">
        <v>132.17222222222222</v>
      </c>
      <c r="U184" s="173">
        <v>132.93333333333334</v>
      </c>
      <c r="V184" s="173">
        <v>129.81666666666666</v>
      </c>
      <c r="W184" s="173">
        <v>135.26111111111112</v>
      </c>
      <c r="X184" s="173">
        <v>100.89444444444445</v>
      </c>
      <c r="Y184" s="173">
        <v>98.472222222222229</v>
      </c>
      <c r="Z184" s="173">
        <v>29.427777777777777</v>
      </c>
      <c r="AA184" s="173">
        <v>16.649999999999999</v>
      </c>
      <c r="AB184" s="173">
        <v>0</v>
      </c>
      <c r="AC184" s="173">
        <v>0</v>
      </c>
      <c r="AD184" s="173">
        <v>0</v>
      </c>
      <c r="AE184" s="173">
        <v>0</v>
      </c>
      <c r="AF184" s="173">
        <v>729.55</v>
      </c>
      <c r="AG184" s="173">
        <v>46.077777777777776</v>
      </c>
      <c r="AH184" s="173">
        <v>0</v>
      </c>
      <c r="AI184" s="173">
        <v>917.08888888888896</v>
      </c>
      <c r="AJ184" s="173">
        <v>775.62777777777774</v>
      </c>
      <c r="AK184" s="173">
        <v>917.08888888888896</v>
      </c>
      <c r="AL184" s="173">
        <v>88.12222222222222</v>
      </c>
      <c r="AM184" s="173">
        <v>7.7388888888888889</v>
      </c>
      <c r="AN184" s="173">
        <v>95.861111111111114</v>
      </c>
      <c r="AO184" s="173">
        <v>924.82777777777778</v>
      </c>
      <c r="AP184" s="173">
        <v>122</v>
      </c>
      <c r="AQ184" s="173">
        <v>163</v>
      </c>
      <c r="AR184" s="173">
        <v>136</v>
      </c>
      <c r="AS184" s="173">
        <v>127</v>
      </c>
      <c r="AT184" s="173">
        <v>121</v>
      </c>
      <c r="AU184" s="173">
        <v>134</v>
      </c>
      <c r="AV184" s="173">
        <v>100</v>
      </c>
      <c r="AW184" s="173">
        <v>33</v>
      </c>
      <c r="AX184" s="173">
        <v>21</v>
      </c>
      <c r="AY184" s="173">
        <v>0</v>
      </c>
      <c r="AZ184" s="173">
        <v>0</v>
      </c>
      <c r="BA184" s="173">
        <v>0</v>
      </c>
      <c r="BB184" s="173">
        <v>0</v>
      </c>
      <c r="BC184" s="173">
        <v>781</v>
      </c>
      <c r="BD184" s="173">
        <v>54</v>
      </c>
      <c r="BE184" s="173">
        <v>0</v>
      </c>
      <c r="BF184" s="173">
        <v>957</v>
      </c>
      <c r="BG184" s="173">
        <v>835</v>
      </c>
      <c r="BH184" s="173">
        <v>957</v>
      </c>
      <c r="BI184" s="173">
        <v>122</v>
      </c>
      <c r="BJ184" s="173">
        <v>0</v>
      </c>
      <c r="BK184" s="173">
        <v>0</v>
      </c>
      <c r="BL184" s="173">
        <v>189</v>
      </c>
      <c r="BM184" s="173">
        <v>85</v>
      </c>
      <c r="BN184" s="173">
        <v>7</v>
      </c>
      <c r="BO184" s="173">
        <v>92</v>
      </c>
      <c r="BP184" s="173">
        <v>68</v>
      </c>
      <c r="BQ184" s="173">
        <v>0.13530617356351338</v>
      </c>
      <c r="BR184" s="173">
        <v>47.838999999999999</v>
      </c>
      <c r="BS184" s="173">
        <v>44.838999999999999</v>
      </c>
      <c r="BT184" s="173">
        <v>44.838999999999999</v>
      </c>
      <c r="BU184" s="173">
        <v>50.838999999999999</v>
      </c>
      <c r="BV184" s="173">
        <v>0</v>
      </c>
      <c r="BW184" s="173">
        <v>0</v>
      </c>
      <c r="BX184" s="173">
        <v>0</v>
      </c>
      <c r="BY184" s="173">
        <v>5.7722220000000002</v>
      </c>
      <c r="BZ184" s="173">
        <v>119.96110999999999</v>
      </c>
      <c r="CA184" s="173">
        <v>125.73333333333332</v>
      </c>
      <c r="CB184" s="173">
        <v>161.11666666666667</v>
      </c>
      <c r="CC184" s="173">
        <v>135.52777777777777</v>
      </c>
      <c r="CD184" s="173">
        <v>122.57777777777778</v>
      </c>
      <c r="CE184" s="173">
        <v>120.46111111111111</v>
      </c>
      <c r="CF184" s="173">
        <v>128.96666666666667</v>
      </c>
      <c r="CG184" s="173">
        <v>100.67777777777778</v>
      </c>
      <c r="CH184" s="173">
        <v>31.944444444444443</v>
      </c>
      <c r="CI184" s="173">
        <v>19.094444444444445</v>
      </c>
      <c r="CJ184" s="173">
        <v>0</v>
      </c>
      <c r="CK184" s="173">
        <v>0</v>
      </c>
      <c r="CL184" s="173">
        <v>0</v>
      </c>
      <c r="CM184" s="173">
        <v>0</v>
      </c>
      <c r="CN184" s="173">
        <v>769.32777777777778</v>
      </c>
      <c r="CO184" s="173">
        <v>51.038888888888891</v>
      </c>
      <c r="CP184" s="173">
        <v>0</v>
      </c>
      <c r="CQ184" s="173">
        <v>946.09999999999991</v>
      </c>
      <c r="CR184" s="173">
        <v>820.36666666666667</v>
      </c>
      <c r="CS184" s="173">
        <v>946.09999999999991</v>
      </c>
      <c r="CT184" s="173">
        <v>94.311111111111103</v>
      </c>
      <c r="CU184" s="173">
        <v>6.5</v>
      </c>
      <c r="CV184" s="173">
        <v>100.8111111111111</v>
      </c>
      <c r="CW184" s="173">
        <v>952.59999999999991</v>
      </c>
      <c r="CX184" s="173">
        <v>0</v>
      </c>
      <c r="CY184" s="173">
        <v>202</v>
      </c>
      <c r="CZ184" s="173">
        <v>0</v>
      </c>
      <c r="DA184" s="173">
        <v>202</v>
      </c>
      <c r="DB184" s="173">
        <v>164</v>
      </c>
      <c r="DC184" s="173">
        <v>186</v>
      </c>
      <c r="DD184" s="173">
        <v>165</v>
      </c>
      <c r="DE184" s="173">
        <v>152</v>
      </c>
      <c r="DF184" s="173">
        <v>131</v>
      </c>
      <c r="DG184" s="173">
        <v>106</v>
      </c>
      <c r="DH184" s="173">
        <v>37</v>
      </c>
      <c r="DI184" s="173">
        <v>28</v>
      </c>
      <c r="DJ184" s="173">
        <v>41</v>
      </c>
      <c r="DK184" s="173">
        <v>49</v>
      </c>
      <c r="DL184" s="173">
        <v>40</v>
      </c>
      <c r="DM184" s="173">
        <v>25</v>
      </c>
      <c r="DN184" s="173">
        <v>904</v>
      </c>
      <c r="DO184" s="173">
        <v>65</v>
      </c>
      <c r="DP184" s="173">
        <v>155</v>
      </c>
      <c r="DQ184" s="173">
        <v>1171</v>
      </c>
      <c r="DR184" s="173">
        <v>1124</v>
      </c>
      <c r="DS184" s="173">
        <v>1326</v>
      </c>
      <c r="DT184" s="173">
        <v>0</v>
      </c>
      <c r="DU184" s="173">
        <v>151</v>
      </c>
      <c r="DV184" s="173">
        <v>124</v>
      </c>
      <c r="DW184" s="173">
        <v>9</v>
      </c>
      <c r="DX184" s="173">
        <v>133</v>
      </c>
      <c r="DY184" s="173">
        <v>1335</v>
      </c>
      <c r="DZ184" s="173">
        <v>99</v>
      </c>
      <c r="EA184" s="173">
        <v>62.442</v>
      </c>
      <c r="EB184" s="173">
        <v>58.442</v>
      </c>
      <c r="EC184" s="173">
        <v>41.587000000000003</v>
      </c>
      <c r="ED184" s="173">
        <v>11.33</v>
      </c>
      <c r="EE184" s="173">
        <v>0</v>
      </c>
      <c r="EF184" s="173">
        <v>66.942000000000007</v>
      </c>
      <c r="EG184" s="173">
        <v>0.12107527425441655</v>
      </c>
      <c r="EH184" s="173">
        <v>0</v>
      </c>
      <c r="EI184" s="173">
        <v>174</v>
      </c>
      <c r="EJ184" s="173">
        <v>1171</v>
      </c>
      <c r="EK184" s="173">
        <v>1080</v>
      </c>
      <c r="EL184" s="173">
        <v>91</v>
      </c>
      <c r="EM184" s="173">
        <v>0</v>
      </c>
      <c r="EN184" s="173">
        <v>1345</v>
      </c>
      <c r="EO184" s="173">
        <v>0</v>
      </c>
      <c r="EP184" s="173">
        <v>146</v>
      </c>
      <c r="EQ184" s="173">
        <v>146</v>
      </c>
      <c r="ER184" s="173">
        <v>141</v>
      </c>
      <c r="ES184" s="173">
        <v>5</v>
      </c>
      <c r="ET184" s="173">
        <v>10</v>
      </c>
      <c r="EU184" s="173">
        <v>15.899999999999999</v>
      </c>
      <c r="EV184" s="173">
        <v>2.2999999999999998</v>
      </c>
      <c r="EW184" s="173">
        <v>5.8000000000000007</v>
      </c>
      <c r="EX184" s="173">
        <v>2.2000000000000002</v>
      </c>
      <c r="EY184" s="173">
        <v>10.5</v>
      </c>
      <c r="EZ184" s="173">
        <v>36.700000000000003</v>
      </c>
      <c r="FA184" s="173">
        <v>3.888888888888889E-2</v>
      </c>
      <c r="FB184" s="173">
        <v>199.66666666666666</v>
      </c>
      <c r="FC184" s="173">
        <v>199.70555555555555</v>
      </c>
      <c r="FD184" s="173">
        <v>157.36111111111111</v>
      </c>
      <c r="FE184" s="173">
        <v>178.22222222222223</v>
      </c>
      <c r="FF184" s="173">
        <v>161.28333333333333</v>
      </c>
      <c r="FG184" s="173">
        <v>138.48333333333335</v>
      </c>
      <c r="FH184" s="173">
        <v>121.91666666666666</v>
      </c>
      <c r="FI184" s="173">
        <v>100.3</v>
      </c>
      <c r="FJ184" s="173">
        <v>32.927777777777777</v>
      </c>
      <c r="FK184" s="173">
        <v>27.672222222222221</v>
      </c>
      <c r="FL184" s="173">
        <v>38.911111111111111</v>
      </c>
      <c r="FM184" s="173">
        <v>49.222222222222221</v>
      </c>
      <c r="FN184" s="173">
        <v>38.31111111111111</v>
      </c>
      <c r="FO184" s="173">
        <v>22.294444444444444</v>
      </c>
      <c r="FP184" s="173">
        <v>857.56666666666661</v>
      </c>
      <c r="FQ184" s="173">
        <v>60.599999999999994</v>
      </c>
      <c r="FR184" s="173">
        <v>148.73888888888888</v>
      </c>
      <c r="FS184" s="173">
        <v>1117.8722222222223</v>
      </c>
      <c r="FT184" s="173">
        <v>1066.9055555555556</v>
      </c>
      <c r="FU184" s="173">
        <v>1266.6111111111113</v>
      </c>
      <c r="FV184" s="173">
        <v>136.12222222222221</v>
      </c>
      <c r="FW184" s="173">
        <v>5.9888888888888889</v>
      </c>
      <c r="FX184" s="173">
        <v>142.11111111111109</v>
      </c>
      <c r="FY184" s="173">
        <v>1272.6000000000001</v>
      </c>
      <c r="FZ184" s="173">
        <v>0</v>
      </c>
      <c r="GA184" s="173">
        <v>197</v>
      </c>
      <c r="GB184" s="173">
        <v>197</v>
      </c>
      <c r="GC184" s="173">
        <v>236</v>
      </c>
      <c r="GD184" s="173">
        <v>171</v>
      </c>
      <c r="GE184" s="173">
        <v>167</v>
      </c>
      <c r="GF184" s="173">
        <v>136</v>
      </c>
      <c r="GG184" s="173">
        <v>130</v>
      </c>
      <c r="GH184" s="173">
        <v>112</v>
      </c>
      <c r="GI184" s="173">
        <v>44</v>
      </c>
      <c r="GJ184" s="173">
        <v>36</v>
      </c>
      <c r="GK184" s="173">
        <v>33</v>
      </c>
      <c r="GL184" s="173">
        <v>26</v>
      </c>
      <c r="GM184" s="173">
        <v>25</v>
      </c>
      <c r="GN184" s="173">
        <v>13</v>
      </c>
      <c r="GO184" s="173">
        <v>952</v>
      </c>
      <c r="GP184" s="173">
        <v>80</v>
      </c>
      <c r="GQ184" s="173">
        <v>97</v>
      </c>
      <c r="GR184" s="173">
        <v>1229</v>
      </c>
      <c r="GS184" s="173">
        <v>1129</v>
      </c>
      <c r="GT184" s="173">
        <v>1326</v>
      </c>
      <c r="GU184" s="173">
        <v>0</v>
      </c>
      <c r="GV184" s="173">
        <v>155</v>
      </c>
      <c r="GW184" s="173">
        <v>127</v>
      </c>
      <c r="GX184" s="173">
        <v>6</v>
      </c>
      <c r="GY184" s="173">
        <v>133</v>
      </c>
      <c r="GZ184" s="173">
        <v>1332</v>
      </c>
      <c r="HA184" s="173">
        <v>82</v>
      </c>
      <c r="HB184" s="173">
        <v>64.643000000000001</v>
      </c>
      <c r="HC184" s="173">
        <v>62.643000000000001</v>
      </c>
      <c r="HD184" s="173">
        <v>49.118000000000002</v>
      </c>
      <c r="HE184" s="173">
        <v>6</v>
      </c>
      <c r="HF184" s="173">
        <v>0</v>
      </c>
      <c r="HG184" s="173">
        <v>75.643000000000001</v>
      </c>
      <c r="HH184" s="173">
        <v>0</v>
      </c>
      <c r="HI184" s="173">
        <v>147</v>
      </c>
      <c r="HJ184" s="173">
        <v>147</v>
      </c>
      <c r="HK184" s="173">
        <v>140</v>
      </c>
      <c r="HL184" s="173">
        <v>7</v>
      </c>
      <c r="HM184" s="173">
        <v>16</v>
      </c>
      <c r="HN184" s="173">
        <v>229</v>
      </c>
      <c r="HO184" s="173">
        <v>1174</v>
      </c>
      <c r="HP184" s="173">
        <v>910</v>
      </c>
      <c r="HQ184" s="173">
        <v>87</v>
      </c>
      <c r="HR184" s="173">
        <v>177</v>
      </c>
      <c r="HS184" s="173">
        <v>1403</v>
      </c>
      <c r="HT184" s="173">
        <v>1226</v>
      </c>
      <c r="HU184" s="173">
        <v>0</v>
      </c>
    </row>
    <row r="187" spans="1:229">
      <c r="A187" s="195" t="s">
        <v>899</v>
      </c>
      <c r="CY187" s="157">
        <v>414</v>
      </c>
      <c r="CZ187" s="157">
        <v>75</v>
      </c>
      <c r="DA187" s="157">
        <v>489</v>
      </c>
      <c r="DB187" s="157">
        <v>502</v>
      </c>
      <c r="DC187" s="157">
        <v>525</v>
      </c>
      <c r="DD187" s="157">
        <v>492</v>
      </c>
      <c r="DE187" s="157">
        <v>541</v>
      </c>
      <c r="DF187" s="157">
        <v>527</v>
      </c>
      <c r="DG187" s="157">
        <v>539</v>
      </c>
      <c r="DH187" s="157">
        <v>497</v>
      </c>
      <c r="DI187" s="157">
        <v>458</v>
      </c>
      <c r="DJ187" s="157">
        <v>292</v>
      </c>
      <c r="DK187" s="157">
        <v>217</v>
      </c>
      <c r="DL187" s="157">
        <v>177</v>
      </c>
      <c r="DM187" s="157">
        <v>139</v>
      </c>
      <c r="DN187" s="157">
        <f>SUM(DB187:DG187)</f>
        <v>3126</v>
      </c>
      <c r="DO187" s="157">
        <f>SUM(DH187:DI187)</f>
        <v>955</v>
      </c>
      <c r="DP187" s="157">
        <f>SUM(DJ187:DM187)</f>
        <v>825</v>
      </c>
      <c r="DQ187" s="157">
        <f>SUM(DA187:DI187)</f>
        <v>4570</v>
      </c>
      <c r="DR187" s="157">
        <f>SUM(DN187:DP187)</f>
        <v>4906</v>
      </c>
      <c r="DS187" s="157">
        <f>DR187+DA187</f>
        <v>5395</v>
      </c>
      <c r="DU187" s="157">
        <v>1784</v>
      </c>
      <c r="DV187" s="157">
        <v>493</v>
      </c>
      <c r="DW187" s="157">
        <v>17</v>
      </c>
      <c r="DX187" s="157">
        <f>SUM(DV187:DW187)</f>
        <v>510</v>
      </c>
      <c r="DY187" s="157">
        <f>DS187+DW187</f>
        <v>5412</v>
      </c>
      <c r="DZ187" s="157">
        <v>1468</v>
      </c>
      <c r="EP187" s="157">
        <v>504</v>
      </c>
      <c r="EQ187" s="157">
        <v>504</v>
      </c>
      <c r="ER187" s="157">
        <v>488</v>
      </c>
      <c r="ES187" s="157">
        <v>16</v>
      </c>
      <c r="FA187" s="157">
        <v>73.072222222222223</v>
      </c>
      <c r="FB187" s="157">
        <v>419.16666666666669</v>
      </c>
      <c r="FC187" s="157">
        <v>492.23888888888888</v>
      </c>
      <c r="FD187" s="157">
        <v>494.49444444444441</v>
      </c>
      <c r="FE187" s="157">
        <v>518.14444444444439</v>
      </c>
      <c r="FF187" s="157">
        <v>490.97777777777776</v>
      </c>
      <c r="FG187" s="157">
        <v>535.56111111111113</v>
      </c>
      <c r="FH187" s="157">
        <v>511.24444444444447</v>
      </c>
      <c r="FI187" s="157">
        <v>523.29444444444448</v>
      </c>
      <c r="FJ187" s="157">
        <v>482.9666666666667</v>
      </c>
      <c r="FK187" s="157">
        <v>443.46111111111111</v>
      </c>
      <c r="FL187" s="157">
        <v>285.22222222222223</v>
      </c>
      <c r="FM187" s="157">
        <v>213.61111111111111</v>
      </c>
      <c r="FN187" s="157">
        <v>170.67222222222222</v>
      </c>
      <c r="FO187" s="157">
        <v>137.74444444444444</v>
      </c>
      <c r="FP187" s="157">
        <f>SUM(FD187:FI187)</f>
        <v>3073.7166666666662</v>
      </c>
      <c r="FQ187" s="157">
        <f>SUM(FJ187:FK187)</f>
        <v>926.42777777777781</v>
      </c>
      <c r="FR187" s="157">
        <f>SUM(FL187:FO187)</f>
        <v>807.25</v>
      </c>
      <c r="FS187" s="157">
        <f>SUM(FC187:FK187)</f>
        <v>4492.3833333333332</v>
      </c>
      <c r="FT187" s="157">
        <f>SUM(FD187:FO187)</f>
        <v>4807.3944444444451</v>
      </c>
      <c r="FU187" s="157">
        <f>FT187+FC187</f>
        <v>5299.6333333333341</v>
      </c>
      <c r="FV187" s="157">
        <v>496.8388888888889</v>
      </c>
      <c r="FW187" s="157">
        <v>18.372222222222224</v>
      </c>
      <c r="FX187" s="157">
        <f>FV187+FW187</f>
        <v>515.21111111111111</v>
      </c>
      <c r="FY187" s="157">
        <f>FW187+FU187</f>
        <v>5318.0055555555564</v>
      </c>
    </row>
  </sheetData>
  <mergeCells count="1">
    <mergeCell ref="A184:D184"/>
  </mergeCells>
  <conditionalFormatting sqref="E2:G167 F168">
    <cfRule type="containsText" dxfId="0" priority="1" operator="containsText" text="No">
      <formula>NOT(ISERROR(SEARCH("No",E2)))</formula>
    </cfRule>
  </conditionalFormatting>
  <pageMargins left="0.75" right="0.75" top="1" bottom="1" header="0.5" footer="0.5"/>
  <pageSetup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Worksheet</vt:lpstr>
      <vt:lpstr>Summary Sheet</vt:lpstr>
      <vt:lpstr>AFRAPR</vt:lpstr>
      <vt:lpstr>VALTAX26</vt:lpstr>
      <vt:lpstr>Data Table 4.15.2026</vt:lpstr>
      <vt:lpstr>AFRAPR!Data24</vt:lpstr>
      <vt:lpstr>Data25</vt:lpstr>
      <vt:lpstr>Districtname</vt:lpstr>
      <vt:lpstr>'Summary Sheet'!Print_Area</vt:lpstr>
      <vt:lpstr>VALTAX26!Print_Area</vt:lpstr>
      <vt:lpstr>Worksheet!Print_Area</vt:lpstr>
      <vt:lpstr>Print_Area_MI</vt:lpstr>
      <vt:lpstr>'Summary Sheet'!Print_Titles</vt:lpstr>
    </vt:vector>
  </TitlesOfParts>
  <Company>usoe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USOE</dc:creator>
  <cp:lastModifiedBy>Noralee Green</cp:lastModifiedBy>
  <cp:lastPrinted>2014-02-20T00:20:46Z</cp:lastPrinted>
  <dcterms:created xsi:type="dcterms:W3CDTF">1999-08-11T15:10:05Z</dcterms:created>
  <dcterms:modified xsi:type="dcterms:W3CDTF">2026-08-24T19:06:52Z</dcterms:modified>
</cp:coreProperties>
</file>