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/>
  <mc:AlternateContent xmlns:mc="http://schemas.openxmlformats.org/markup-compatibility/2006">
    <mc:Choice Requires="x15">
      <x15ac:absPath xmlns:x15ac="http://schemas.microsoft.com/office/spreadsheetml/2010/11/ac" url="G:\MSP Support\50% of Local Exp Per Student (LocalLevy)\FY24\"/>
    </mc:Choice>
  </mc:AlternateContent>
  <xr:revisionPtr revIDLastSave="0" documentId="13_ncr:1_{2FAA75EF-BEBD-4F7E-917C-854495286D55}" xr6:coauthVersionLast="47" xr6:coauthVersionMax="47" xr10:uidLastSave="{00000000-0000-0000-0000-000000000000}"/>
  <bookViews>
    <workbookView xWindow="14640" yWindow="0" windowWidth="14949" windowHeight="11726" activeTab="1" xr2:uid="{00000000-000D-0000-FFFF-FFFF00000000}"/>
  </bookViews>
  <sheets>
    <sheet name="Worksheet" sheetId="1" r:id="rId1"/>
    <sheet name="Summary Sheet" sheetId="4" r:id="rId2"/>
    <sheet name="AFRAPR" sheetId="17" r:id="rId3"/>
    <sheet name="VALTAX24" sheetId="18" r:id="rId4"/>
    <sheet name="Data Table" sheetId="19" r:id="rId5"/>
  </sheets>
  <externalReferences>
    <externalReference r:id="rId6"/>
    <externalReference r:id="rId7"/>
  </externalReferences>
  <definedNames>
    <definedName name="_xlnm._FilterDatabase" localSheetId="4" hidden="1">'Data Table'!$B$1:$BH$158</definedName>
    <definedName name="_Key1" localSheetId="3" hidden="1">VALTAX24!#REF!</definedName>
    <definedName name="_Order1" localSheetId="3" hidden="1">0</definedName>
    <definedName name="_Regression_Int" localSheetId="3" hidden="1">1</definedName>
    <definedName name="_Sort" localSheetId="3" hidden="1">VALTAX24!#REF!</definedName>
    <definedName name="Data">#REF!</definedName>
    <definedName name="Data24">AFRAPR!$C$5:$W$45</definedName>
    <definedName name="Districtname">Worksheet!$E$7</definedName>
    <definedName name="maindata">#REF!</definedName>
    <definedName name="_xlnm.Print_Area" localSheetId="1">'Summary Sheet'!$A$1:$D$50</definedName>
    <definedName name="_xlnm.Print_Area" localSheetId="3">VALTAX24!$A$1:$K$57</definedName>
    <definedName name="_xlnm.Print_Area" localSheetId="0">Worksheet!$A$1:$F$44</definedName>
    <definedName name="Print_Area_MI" localSheetId="3">VALTAX24!$B$1:$G$57</definedName>
    <definedName name="Print_Area_MI">#REF!</definedName>
    <definedName name="_xlnm.Print_Titles" localSheetId="1">'Summary Sheet'!$A:$A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6" i="17" l="1"/>
  <c r="M5" i="17" l="1"/>
  <c r="M6" i="17"/>
  <c r="M7" i="17"/>
  <c r="M8" i="17"/>
  <c r="M9" i="17"/>
  <c r="M10" i="17"/>
  <c r="M11" i="17"/>
  <c r="M12" i="17"/>
  <c r="M13" i="17"/>
  <c r="N13" i="17" s="1"/>
  <c r="M14" i="17"/>
  <c r="N14" i="17" s="1"/>
  <c r="M15" i="17"/>
  <c r="N15" i="17" s="1"/>
  <c r="M16" i="17"/>
  <c r="N16" i="17" s="1"/>
  <c r="M17" i="17"/>
  <c r="N17" i="17" s="1"/>
  <c r="M18" i="17"/>
  <c r="M19" i="17"/>
  <c r="M20" i="17"/>
  <c r="M21" i="17"/>
  <c r="M22" i="17"/>
  <c r="M23" i="17"/>
  <c r="M24" i="17"/>
  <c r="M25" i="17"/>
  <c r="N25" i="17" s="1"/>
  <c r="M26" i="17"/>
  <c r="N26" i="17" s="1"/>
  <c r="M27" i="17"/>
  <c r="N27" i="17" s="1"/>
  <c r="M28" i="17"/>
  <c r="N28" i="17" s="1"/>
  <c r="M29" i="17"/>
  <c r="N29" i="17" s="1"/>
  <c r="M30" i="17"/>
  <c r="M31" i="17"/>
  <c r="M32" i="17"/>
  <c r="M33" i="17"/>
  <c r="M34" i="17"/>
  <c r="M35" i="17"/>
  <c r="M36" i="17"/>
  <c r="M37" i="17"/>
  <c r="N37" i="17" s="1"/>
  <c r="M38" i="17"/>
  <c r="N38" i="17" s="1"/>
  <c r="M39" i="17"/>
  <c r="N39" i="17" s="1"/>
  <c r="M40" i="17"/>
  <c r="N40" i="17" s="1"/>
  <c r="M41" i="17"/>
  <c r="N41" i="17" s="1"/>
  <c r="M42" i="17"/>
  <c r="M43" i="17"/>
  <c r="M44" i="17"/>
  <c r="M45" i="17"/>
  <c r="N5" i="17"/>
  <c r="N6" i="17"/>
  <c r="N7" i="17"/>
  <c r="N8" i="17"/>
  <c r="N9" i="17"/>
  <c r="N10" i="17"/>
  <c r="N11" i="17"/>
  <c r="N12" i="17"/>
  <c r="N18" i="17"/>
  <c r="N19" i="17"/>
  <c r="N20" i="17"/>
  <c r="N21" i="17"/>
  <c r="N22" i="17"/>
  <c r="N23" i="17"/>
  <c r="N24" i="17"/>
  <c r="N30" i="17"/>
  <c r="N31" i="17"/>
  <c r="N32" i="17"/>
  <c r="N33" i="17"/>
  <c r="N34" i="17"/>
  <c r="N35" i="17"/>
  <c r="N36" i="17"/>
  <c r="N42" i="17"/>
  <c r="N43" i="17"/>
  <c r="N44" i="17"/>
  <c r="N45" i="17"/>
  <c r="E29" i="1" l="1"/>
  <c r="E24" i="1"/>
  <c r="E23" i="1"/>
  <c r="E22" i="1"/>
  <c r="E21" i="1"/>
  <c r="E16" i="1"/>
  <c r="E15" i="1"/>
  <c r="E14" i="1"/>
  <c r="E13" i="1"/>
  <c r="E12" i="1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6" i="17"/>
  <c r="U5" i="17"/>
  <c r="BY169" i="19"/>
  <c r="BX169" i="19"/>
  <c r="BW169" i="19"/>
  <c r="BV169" i="19"/>
  <c r="BU169" i="19"/>
  <c r="BT169" i="19"/>
  <c r="BS169" i="19"/>
  <c r="BR169" i="19"/>
  <c r="BQ169" i="19"/>
  <c r="BP169" i="19"/>
  <c r="BO169" i="19"/>
  <c r="BN169" i="19"/>
  <c r="BM169" i="19"/>
  <c r="BL169" i="19"/>
  <c r="BK169" i="19"/>
  <c r="BJ169" i="19"/>
  <c r="BI169" i="19"/>
  <c r="BH169" i="19"/>
  <c r="BG169" i="19"/>
  <c r="BF169" i="19"/>
  <c r="BE169" i="19"/>
  <c r="BD169" i="19"/>
  <c r="BC169" i="19"/>
  <c r="BB169" i="19"/>
  <c r="BA169" i="19"/>
  <c r="AZ169" i="19"/>
  <c r="AY169" i="19"/>
  <c r="AX169" i="19"/>
  <c r="AW169" i="19"/>
  <c r="AV169" i="19"/>
  <c r="AU169" i="19"/>
  <c r="AT169" i="19"/>
  <c r="AS169" i="19"/>
  <c r="AR169" i="19"/>
  <c r="AQ169" i="19"/>
  <c r="AP169" i="19"/>
  <c r="AO169" i="19"/>
  <c r="AN169" i="19"/>
  <c r="AM169" i="19"/>
  <c r="AL169" i="19"/>
  <c r="AK169" i="19"/>
  <c r="AJ169" i="19"/>
  <c r="AI169" i="19"/>
  <c r="AH169" i="19"/>
  <c r="AG169" i="19"/>
  <c r="AF169" i="19"/>
  <c r="AE169" i="19"/>
  <c r="AD169" i="19"/>
  <c r="AC169" i="19"/>
  <c r="AB169" i="19"/>
  <c r="AA169" i="19"/>
  <c r="Z169" i="19"/>
  <c r="Y169" i="19"/>
  <c r="X169" i="19"/>
  <c r="W169" i="19"/>
  <c r="V169" i="19"/>
  <c r="U169" i="19"/>
  <c r="T169" i="19"/>
  <c r="S169" i="19"/>
  <c r="R169" i="19"/>
  <c r="Q169" i="19"/>
  <c r="P169" i="19"/>
  <c r="O169" i="19"/>
  <c r="N169" i="19"/>
  <c r="M169" i="19"/>
  <c r="L169" i="19"/>
  <c r="K169" i="19"/>
  <c r="J169" i="19"/>
  <c r="I169" i="19"/>
  <c r="H169" i="19"/>
  <c r="G169" i="19"/>
  <c r="F169" i="19"/>
  <c r="E169" i="19"/>
  <c r="BY168" i="19"/>
  <c r="BX168" i="19"/>
  <c r="BW168" i="19"/>
  <c r="BV168" i="19"/>
  <c r="BU168" i="19"/>
  <c r="BT168" i="19"/>
  <c r="BS168" i="19"/>
  <c r="BR168" i="19"/>
  <c r="BQ168" i="19"/>
  <c r="BP168" i="19"/>
  <c r="BO168" i="19"/>
  <c r="BN168" i="19"/>
  <c r="BN170" i="19" s="1"/>
  <c r="BM168" i="19"/>
  <c r="BL168" i="19"/>
  <c r="BK168" i="19"/>
  <c r="BJ168" i="19"/>
  <c r="BI168" i="19"/>
  <c r="BH168" i="19"/>
  <c r="BG168" i="19"/>
  <c r="BF168" i="19"/>
  <c r="BE168" i="19"/>
  <c r="BD168" i="19"/>
  <c r="BC168" i="19"/>
  <c r="BB168" i="19"/>
  <c r="BB170" i="19" s="1"/>
  <c r="BA168" i="19"/>
  <c r="AZ168" i="19"/>
  <c r="AY168" i="19"/>
  <c r="AX168" i="19"/>
  <c r="AW168" i="19"/>
  <c r="AV168" i="19"/>
  <c r="AU168" i="19"/>
  <c r="AT168" i="19"/>
  <c r="AS168" i="19"/>
  <c r="AR168" i="19"/>
  <c r="AQ168" i="19"/>
  <c r="AP168" i="19"/>
  <c r="AP170" i="19" s="1"/>
  <c r="AO168" i="19"/>
  <c r="AN168" i="19"/>
  <c r="AM168" i="19"/>
  <c r="AL168" i="19"/>
  <c r="AK168" i="19"/>
  <c r="AJ168" i="19"/>
  <c r="AI168" i="19"/>
  <c r="AH168" i="19"/>
  <c r="AG168" i="19"/>
  <c r="AF168" i="19"/>
  <c r="AE168" i="19"/>
  <c r="AD168" i="19"/>
  <c r="AD170" i="19" s="1"/>
  <c r="AC168" i="19"/>
  <c r="AB168" i="19"/>
  <c r="AA168" i="19"/>
  <c r="Z168" i="19"/>
  <c r="Y168" i="19"/>
  <c r="X168" i="19"/>
  <c r="W168" i="19"/>
  <c r="V168" i="19"/>
  <c r="U168" i="19"/>
  <c r="T168" i="19"/>
  <c r="S168" i="19"/>
  <c r="R168" i="19"/>
  <c r="R170" i="19" s="1"/>
  <c r="Q168" i="19"/>
  <c r="P168" i="19"/>
  <c r="O168" i="19"/>
  <c r="N168" i="19"/>
  <c r="M168" i="19"/>
  <c r="L168" i="19"/>
  <c r="K168" i="19"/>
  <c r="J168" i="19"/>
  <c r="I168" i="19"/>
  <c r="H168" i="19"/>
  <c r="G168" i="19"/>
  <c r="F168" i="19"/>
  <c r="F170" i="19" s="1"/>
  <c r="E168" i="19"/>
  <c r="BY167" i="19"/>
  <c r="BY170" i="19" s="1"/>
  <c r="BX167" i="19"/>
  <c r="BX170" i="19" s="1"/>
  <c r="BW167" i="19"/>
  <c r="BW170" i="19" s="1"/>
  <c r="BV167" i="19"/>
  <c r="BV170" i="19" s="1"/>
  <c r="BU167" i="19"/>
  <c r="BU170" i="19" s="1"/>
  <c r="BT167" i="19"/>
  <c r="BT170" i="19" s="1"/>
  <c r="BS167" i="19"/>
  <c r="BS170" i="19" s="1"/>
  <c r="BR167" i="19"/>
  <c r="BR170" i="19" s="1"/>
  <c r="BQ167" i="19"/>
  <c r="BQ170" i="19" s="1"/>
  <c r="BP167" i="19"/>
  <c r="BP170" i="19" s="1"/>
  <c r="BO167" i="19"/>
  <c r="BO170" i="19" s="1"/>
  <c r="BN167" i="19"/>
  <c r="BM167" i="19"/>
  <c r="BM170" i="19" s="1"/>
  <c r="BL167" i="19"/>
  <c r="BL170" i="19" s="1"/>
  <c r="BK167" i="19"/>
  <c r="BK170" i="19" s="1"/>
  <c r="BJ167" i="19"/>
  <c r="BJ170" i="19" s="1"/>
  <c r="BI167" i="19"/>
  <c r="BI170" i="19" s="1"/>
  <c r="BH167" i="19"/>
  <c r="BH170" i="19" s="1"/>
  <c r="BG167" i="19"/>
  <c r="BG170" i="19" s="1"/>
  <c r="BF167" i="19"/>
  <c r="BF170" i="19" s="1"/>
  <c r="BE167" i="19"/>
  <c r="BE170" i="19" s="1"/>
  <c r="BD167" i="19"/>
  <c r="BD170" i="19" s="1"/>
  <c r="BC167" i="19"/>
  <c r="BC170" i="19" s="1"/>
  <c r="BB167" i="19"/>
  <c r="BA167" i="19"/>
  <c r="BA170" i="19" s="1"/>
  <c r="AZ167" i="19"/>
  <c r="AZ170" i="19" s="1"/>
  <c r="AY167" i="19"/>
  <c r="AY170" i="19" s="1"/>
  <c r="AX167" i="19"/>
  <c r="AX170" i="19" s="1"/>
  <c r="AW167" i="19"/>
  <c r="AW170" i="19" s="1"/>
  <c r="AV167" i="19"/>
  <c r="AV170" i="19" s="1"/>
  <c r="AU167" i="19"/>
  <c r="AU170" i="19" s="1"/>
  <c r="AT167" i="19"/>
  <c r="AT170" i="19" s="1"/>
  <c r="AS167" i="19"/>
  <c r="AS170" i="19" s="1"/>
  <c r="AR167" i="19"/>
  <c r="AR170" i="19" s="1"/>
  <c r="AQ167" i="19"/>
  <c r="AQ170" i="19" s="1"/>
  <c r="AP167" i="19"/>
  <c r="AO167" i="19"/>
  <c r="AO170" i="19" s="1"/>
  <c r="AN167" i="19"/>
  <c r="AN170" i="19" s="1"/>
  <c r="AM167" i="19"/>
  <c r="AM170" i="19" s="1"/>
  <c r="AL167" i="19"/>
  <c r="AL170" i="19" s="1"/>
  <c r="AK167" i="19"/>
  <c r="AK170" i="19" s="1"/>
  <c r="AJ167" i="19"/>
  <c r="AJ170" i="19" s="1"/>
  <c r="AI167" i="19"/>
  <c r="AI170" i="19" s="1"/>
  <c r="AH167" i="19"/>
  <c r="AH170" i="19" s="1"/>
  <c r="AG167" i="19"/>
  <c r="AG170" i="19" s="1"/>
  <c r="AF167" i="19"/>
  <c r="AF170" i="19" s="1"/>
  <c r="AE167" i="19"/>
  <c r="AE170" i="19" s="1"/>
  <c r="AD167" i="19"/>
  <c r="AC167" i="19"/>
  <c r="AC170" i="19" s="1"/>
  <c r="AB167" i="19"/>
  <c r="AB170" i="19" s="1"/>
  <c r="AA167" i="19"/>
  <c r="AA170" i="19" s="1"/>
  <c r="Z167" i="19"/>
  <c r="Z170" i="19" s="1"/>
  <c r="Y167" i="19"/>
  <c r="Y170" i="19" s="1"/>
  <c r="X167" i="19"/>
  <c r="X170" i="19" s="1"/>
  <c r="W167" i="19"/>
  <c r="W170" i="19" s="1"/>
  <c r="V167" i="19"/>
  <c r="V170" i="19" s="1"/>
  <c r="U167" i="19"/>
  <c r="U170" i="19" s="1"/>
  <c r="T167" i="19"/>
  <c r="T170" i="19" s="1"/>
  <c r="S167" i="19"/>
  <c r="S170" i="19" s="1"/>
  <c r="R167" i="19"/>
  <c r="Q167" i="19"/>
  <c r="Q170" i="19" s="1"/>
  <c r="P167" i="19"/>
  <c r="P170" i="19" s="1"/>
  <c r="O167" i="19"/>
  <c r="O170" i="19" s="1"/>
  <c r="N167" i="19"/>
  <c r="N170" i="19" s="1"/>
  <c r="M167" i="19"/>
  <c r="M170" i="19" s="1"/>
  <c r="L167" i="19"/>
  <c r="L170" i="19" s="1"/>
  <c r="K167" i="19"/>
  <c r="K170" i="19" s="1"/>
  <c r="J167" i="19"/>
  <c r="J170" i="19" s="1"/>
  <c r="I167" i="19"/>
  <c r="I170" i="19" s="1"/>
  <c r="H167" i="19"/>
  <c r="H170" i="19" s="1"/>
  <c r="G167" i="19"/>
  <c r="G170" i="19" s="1"/>
  <c r="F167" i="19"/>
  <c r="E167" i="19"/>
  <c r="E170" i="19" s="1"/>
  <c r="BY165" i="19"/>
  <c r="BX165" i="19"/>
  <c r="BW165" i="19"/>
  <c r="BV165" i="19"/>
  <c r="BU165" i="19"/>
  <c r="BT165" i="19"/>
  <c r="BS165" i="19"/>
  <c r="BR165" i="19"/>
  <c r="BQ165" i="19"/>
  <c r="BP165" i="19"/>
  <c r="BO165" i="19"/>
  <c r="BN165" i="19"/>
  <c r="BM165" i="19"/>
  <c r="BL165" i="19"/>
  <c r="BK165" i="19"/>
  <c r="BJ165" i="19"/>
  <c r="BI165" i="19"/>
  <c r="BH165" i="19"/>
  <c r="BG165" i="19"/>
  <c r="BF165" i="19"/>
  <c r="BE165" i="19"/>
  <c r="BD165" i="19"/>
  <c r="BC165" i="19"/>
  <c r="BB165" i="19"/>
  <c r="BA165" i="19"/>
  <c r="AZ165" i="19"/>
  <c r="AY165" i="19"/>
  <c r="AX165" i="19"/>
  <c r="AW165" i="19"/>
  <c r="AV165" i="19"/>
  <c r="AU165" i="19"/>
  <c r="AT165" i="19"/>
  <c r="AS165" i="19"/>
  <c r="AR165" i="19"/>
  <c r="AQ165" i="19"/>
  <c r="AP165" i="19"/>
  <c r="AO165" i="19"/>
  <c r="AN165" i="19"/>
  <c r="AM165" i="19"/>
  <c r="AL165" i="19"/>
  <c r="AK165" i="19"/>
  <c r="AJ165" i="19"/>
  <c r="AI165" i="19"/>
  <c r="AH165" i="19"/>
  <c r="AG165" i="19"/>
  <c r="AF165" i="19"/>
  <c r="AE165" i="19"/>
  <c r="AD165" i="19"/>
  <c r="AC165" i="19"/>
  <c r="AB165" i="19"/>
  <c r="AA165" i="19"/>
  <c r="Z165" i="19"/>
  <c r="Y165" i="19"/>
  <c r="X165" i="19"/>
  <c r="W165" i="19"/>
  <c r="V165" i="19"/>
  <c r="U165" i="19"/>
  <c r="T165" i="19"/>
  <c r="S165" i="19"/>
  <c r="R165" i="19"/>
  <c r="Q165" i="19"/>
  <c r="P165" i="19"/>
  <c r="O165" i="19"/>
  <c r="N165" i="19"/>
  <c r="M165" i="19"/>
  <c r="L165" i="19"/>
  <c r="K165" i="19"/>
  <c r="J165" i="19"/>
  <c r="I165" i="19"/>
  <c r="H165" i="19"/>
  <c r="G165" i="19"/>
  <c r="F165" i="19"/>
  <c r="E165" i="19"/>
  <c r="S19" i="17" l="1"/>
  <c r="S27" i="17"/>
  <c r="S28" i="17"/>
  <c r="S29" i="17"/>
  <c r="S30" i="17"/>
  <c r="S31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20" i="17"/>
  <c r="S21" i="17"/>
  <c r="S22" i="17"/>
  <c r="S23" i="17"/>
  <c r="S24" i="17"/>
  <c r="S25" i="17"/>
  <c r="S26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11" i="18"/>
  <c r="O10" i="18"/>
  <c r="J52" i="18"/>
  <c r="I50" i="18"/>
  <c r="H50" i="18"/>
  <c r="G50" i="18"/>
  <c r="F50" i="18"/>
  <c r="E50" i="18"/>
  <c r="D50" i="18"/>
  <c r="K50" i="18" s="1"/>
  <c r="M50" i="18" s="1"/>
  <c r="C50" i="18"/>
  <c r="I49" i="18"/>
  <c r="H49" i="18"/>
  <c r="G49" i="18"/>
  <c r="F49" i="18"/>
  <c r="E49" i="18"/>
  <c r="D49" i="18"/>
  <c r="K49" i="18" s="1"/>
  <c r="M49" i="18" s="1"/>
  <c r="C49" i="18"/>
  <c r="I48" i="18"/>
  <c r="H48" i="18"/>
  <c r="G48" i="18"/>
  <c r="F48" i="18"/>
  <c r="E48" i="18"/>
  <c r="D48" i="18"/>
  <c r="K48" i="18" s="1"/>
  <c r="M48" i="18" s="1"/>
  <c r="C48" i="18"/>
  <c r="I47" i="18"/>
  <c r="H47" i="18"/>
  <c r="G47" i="18"/>
  <c r="F47" i="18"/>
  <c r="E47" i="18"/>
  <c r="K47" i="18" s="1"/>
  <c r="M47" i="18" s="1"/>
  <c r="D47" i="18"/>
  <c r="C47" i="18"/>
  <c r="I46" i="18"/>
  <c r="H46" i="18"/>
  <c r="G46" i="18"/>
  <c r="F46" i="18"/>
  <c r="E46" i="18"/>
  <c r="K46" i="18" s="1"/>
  <c r="M46" i="18" s="1"/>
  <c r="D46" i="18"/>
  <c r="C46" i="18"/>
  <c r="I45" i="18"/>
  <c r="H45" i="18"/>
  <c r="G45" i="18"/>
  <c r="F45" i="18"/>
  <c r="E45" i="18"/>
  <c r="D45" i="18"/>
  <c r="K45" i="18" s="1"/>
  <c r="M45" i="18" s="1"/>
  <c r="C45" i="18"/>
  <c r="I44" i="18"/>
  <c r="H44" i="18"/>
  <c r="G44" i="18"/>
  <c r="F44" i="18"/>
  <c r="E44" i="18"/>
  <c r="D44" i="18"/>
  <c r="K44" i="18" s="1"/>
  <c r="M44" i="18" s="1"/>
  <c r="C44" i="18"/>
  <c r="I43" i="18"/>
  <c r="H43" i="18"/>
  <c r="G43" i="18"/>
  <c r="F43" i="18"/>
  <c r="E43" i="18"/>
  <c r="K43" i="18" s="1"/>
  <c r="M43" i="18" s="1"/>
  <c r="D43" i="18"/>
  <c r="C43" i="18"/>
  <c r="I42" i="18"/>
  <c r="H42" i="18"/>
  <c r="G42" i="18"/>
  <c r="F42" i="18"/>
  <c r="E42" i="18"/>
  <c r="K42" i="18" s="1"/>
  <c r="M42" i="18" s="1"/>
  <c r="D42" i="18"/>
  <c r="C42" i="18"/>
  <c r="I41" i="18"/>
  <c r="H41" i="18"/>
  <c r="G41" i="18"/>
  <c r="F41" i="18"/>
  <c r="E41" i="18"/>
  <c r="D41" i="18"/>
  <c r="K41" i="18" s="1"/>
  <c r="M41" i="18" s="1"/>
  <c r="C41" i="18"/>
  <c r="I40" i="18"/>
  <c r="H40" i="18"/>
  <c r="G40" i="18"/>
  <c r="F40" i="18"/>
  <c r="E40" i="18"/>
  <c r="D40" i="18"/>
  <c r="K40" i="18" s="1"/>
  <c r="M40" i="18" s="1"/>
  <c r="C40" i="18"/>
  <c r="I39" i="18"/>
  <c r="H39" i="18"/>
  <c r="G39" i="18"/>
  <c r="F39" i="18"/>
  <c r="E39" i="18"/>
  <c r="K39" i="18" s="1"/>
  <c r="M39" i="18" s="1"/>
  <c r="D39" i="18"/>
  <c r="C39" i="18"/>
  <c r="I38" i="18"/>
  <c r="H38" i="18"/>
  <c r="G38" i="18"/>
  <c r="F38" i="18"/>
  <c r="E38" i="18"/>
  <c r="K38" i="18" s="1"/>
  <c r="M38" i="18" s="1"/>
  <c r="D38" i="18"/>
  <c r="C38" i="18"/>
  <c r="I37" i="18"/>
  <c r="H37" i="18"/>
  <c r="G37" i="18"/>
  <c r="F37" i="18"/>
  <c r="E37" i="18"/>
  <c r="D37" i="18"/>
  <c r="K37" i="18" s="1"/>
  <c r="M37" i="18" s="1"/>
  <c r="C37" i="18"/>
  <c r="I36" i="18"/>
  <c r="H36" i="18"/>
  <c r="G36" i="18"/>
  <c r="F36" i="18"/>
  <c r="E36" i="18"/>
  <c r="D36" i="18"/>
  <c r="K36" i="18" s="1"/>
  <c r="M36" i="18" s="1"/>
  <c r="C36" i="18"/>
  <c r="I35" i="18"/>
  <c r="H35" i="18"/>
  <c r="G35" i="18"/>
  <c r="F35" i="18"/>
  <c r="E35" i="18"/>
  <c r="K35" i="18" s="1"/>
  <c r="M35" i="18" s="1"/>
  <c r="D35" i="18"/>
  <c r="C35" i="18"/>
  <c r="I34" i="18"/>
  <c r="H34" i="18"/>
  <c r="G34" i="18"/>
  <c r="F34" i="18"/>
  <c r="E34" i="18"/>
  <c r="K34" i="18" s="1"/>
  <c r="M34" i="18" s="1"/>
  <c r="D34" i="18"/>
  <c r="C34" i="18"/>
  <c r="I33" i="18"/>
  <c r="H33" i="18"/>
  <c r="G33" i="18"/>
  <c r="F33" i="18"/>
  <c r="E33" i="18"/>
  <c r="D33" i="18"/>
  <c r="K33" i="18" s="1"/>
  <c r="M33" i="18" s="1"/>
  <c r="C33" i="18"/>
  <c r="I32" i="18"/>
  <c r="H32" i="18"/>
  <c r="G32" i="18"/>
  <c r="F32" i="18"/>
  <c r="E32" i="18"/>
  <c r="D32" i="18"/>
  <c r="K32" i="18" s="1"/>
  <c r="M32" i="18" s="1"/>
  <c r="C32" i="18"/>
  <c r="I31" i="18"/>
  <c r="H31" i="18"/>
  <c r="G31" i="18"/>
  <c r="F31" i="18"/>
  <c r="E31" i="18"/>
  <c r="K31" i="18" s="1"/>
  <c r="M31" i="18" s="1"/>
  <c r="D31" i="18"/>
  <c r="C31" i="18"/>
  <c r="I30" i="18"/>
  <c r="H30" i="18"/>
  <c r="G30" i="18"/>
  <c r="F30" i="18"/>
  <c r="E30" i="18"/>
  <c r="K30" i="18" s="1"/>
  <c r="M30" i="18" s="1"/>
  <c r="D30" i="18"/>
  <c r="C30" i="18"/>
  <c r="I29" i="18"/>
  <c r="H29" i="18"/>
  <c r="G29" i="18"/>
  <c r="F29" i="18"/>
  <c r="E29" i="18"/>
  <c r="D29" i="18"/>
  <c r="K29" i="18" s="1"/>
  <c r="M29" i="18" s="1"/>
  <c r="C29" i="18"/>
  <c r="I28" i="18"/>
  <c r="H28" i="18"/>
  <c r="G28" i="18"/>
  <c r="F28" i="18"/>
  <c r="E28" i="18"/>
  <c r="D28" i="18"/>
  <c r="K28" i="18" s="1"/>
  <c r="M28" i="18" s="1"/>
  <c r="C28" i="18"/>
  <c r="I27" i="18"/>
  <c r="H27" i="18"/>
  <c r="G27" i="18"/>
  <c r="F27" i="18"/>
  <c r="E27" i="18"/>
  <c r="K27" i="18" s="1"/>
  <c r="M27" i="18" s="1"/>
  <c r="D27" i="18"/>
  <c r="C27" i="18"/>
  <c r="I26" i="18"/>
  <c r="H26" i="18"/>
  <c r="G26" i="18"/>
  <c r="F26" i="18"/>
  <c r="E26" i="18"/>
  <c r="K26" i="18" s="1"/>
  <c r="M26" i="18" s="1"/>
  <c r="D26" i="18"/>
  <c r="C26" i="18"/>
  <c r="I25" i="18"/>
  <c r="H25" i="18"/>
  <c r="G25" i="18"/>
  <c r="F25" i="18"/>
  <c r="E25" i="18"/>
  <c r="D25" i="18"/>
  <c r="K25" i="18" s="1"/>
  <c r="M25" i="18" s="1"/>
  <c r="C25" i="18"/>
  <c r="I24" i="18"/>
  <c r="H24" i="18"/>
  <c r="G24" i="18"/>
  <c r="F24" i="18"/>
  <c r="E24" i="18"/>
  <c r="D24" i="18"/>
  <c r="K24" i="18" s="1"/>
  <c r="M24" i="18" s="1"/>
  <c r="C24" i="18"/>
  <c r="I23" i="18"/>
  <c r="H23" i="18"/>
  <c r="G23" i="18"/>
  <c r="F23" i="18"/>
  <c r="E23" i="18"/>
  <c r="K23" i="18" s="1"/>
  <c r="M23" i="18" s="1"/>
  <c r="D23" i="18"/>
  <c r="C23" i="18"/>
  <c r="I22" i="18"/>
  <c r="H22" i="18"/>
  <c r="G22" i="18"/>
  <c r="F22" i="18"/>
  <c r="E22" i="18"/>
  <c r="K22" i="18" s="1"/>
  <c r="M22" i="18" s="1"/>
  <c r="D22" i="18"/>
  <c r="C22" i="18"/>
  <c r="I21" i="18"/>
  <c r="H21" i="18"/>
  <c r="G21" i="18"/>
  <c r="F21" i="18"/>
  <c r="E21" i="18"/>
  <c r="D21" i="18"/>
  <c r="K21" i="18" s="1"/>
  <c r="M21" i="18" s="1"/>
  <c r="C21" i="18"/>
  <c r="I20" i="18"/>
  <c r="H20" i="18"/>
  <c r="G20" i="18"/>
  <c r="F20" i="18"/>
  <c r="E20" i="18"/>
  <c r="D20" i="18"/>
  <c r="K20" i="18" s="1"/>
  <c r="M20" i="18" s="1"/>
  <c r="C20" i="18"/>
  <c r="I19" i="18"/>
  <c r="H19" i="18"/>
  <c r="G19" i="18"/>
  <c r="F19" i="18"/>
  <c r="E19" i="18"/>
  <c r="K19" i="18" s="1"/>
  <c r="M19" i="18" s="1"/>
  <c r="D19" i="18"/>
  <c r="C19" i="18"/>
  <c r="I18" i="18"/>
  <c r="H18" i="18"/>
  <c r="G18" i="18"/>
  <c r="F18" i="18"/>
  <c r="E18" i="18"/>
  <c r="K18" i="18" s="1"/>
  <c r="M18" i="18" s="1"/>
  <c r="D18" i="18"/>
  <c r="C18" i="18"/>
  <c r="I17" i="18"/>
  <c r="H17" i="18"/>
  <c r="G17" i="18"/>
  <c r="F17" i="18"/>
  <c r="E17" i="18"/>
  <c r="D17" i="18"/>
  <c r="K17" i="18" s="1"/>
  <c r="M17" i="18" s="1"/>
  <c r="C17" i="18"/>
  <c r="I16" i="18"/>
  <c r="H16" i="18"/>
  <c r="G16" i="18"/>
  <c r="F16" i="18"/>
  <c r="E16" i="18"/>
  <c r="D16" i="18"/>
  <c r="K16" i="18" s="1"/>
  <c r="M16" i="18" s="1"/>
  <c r="C16" i="18"/>
  <c r="I15" i="18"/>
  <c r="H15" i="18"/>
  <c r="G15" i="18"/>
  <c r="F15" i="18"/>
  <c r="E15" i="18"/>
  <c r="K15" i="18" s="1"/>
  <c r="M15" i="18" s="1"/>
  <c r="D15" i="18"/>
  <c r="C15" i="18"/>
  <c r="I14" i="18"/>
  <c r="H14" i="18"/>
  <c r="G14" i="18"/>
  <c r="F14" i="18"/>
  <c r="E14" i="18"/>
  <c r="K14" i="18" s="1"/>
  <c r="M14" i="18" s="1"/>
  <c r="D14" i="18"/>
  <c r="C14" i="18"/>
  <c r="I13" i="18"/>
  <c r="H13" i="18"/>
  <c r="G13" i="18"/>
  <c r="F13" i="18"/>
  <c r="E13" i="18"/>
  <c r="D13" i="18"/>
  <c r="K13" i="18" s="1"/>
  <c r="M13" i="18" s="1"/>
  <c r="C13" i="18"/>
  <c r="I12" i="18"/>
  <c r="H12" i="18"/>
  <c r="G12" i="18"/>
  <c r="F12" i="18"/>
  <c r="E12" i="18"/>
  <c r="D12" i="18"/>
  <c r="K12" i="18" s="1"/>
  <c r="M12" i="18" s="1"/>
  <c r="C12" i="18"/>
  <c r="I11" i="18"/>
  <c r="H11" i="18"/>
  <c r="G11" i="18"/>
  <c r="F11" i="18"/>
  <c r="E11" i="18"/>
  <c r="K11" i="18" s="1"/>
  <c r="M11" i="18" s="1"/>
  <c r="D11" i="18"/>
  <c r="C11" i="18"/>
  <c r="I10" i="18"/>
  <c r="I52" i="18" s="1"/>
  <c r="H10" i="18"/>
  <c r="H52" i="18" s="1"/>
  <c r="G10" i="18"/>
  <c r="G52" i="18" s="1"/>
  <c r="F10" i="18"/>
  <c r="F52" i="18" s="1"/>
  <c r="E10" i="18"/>
  <c r="E52" i="18" s="1"/>
  <c r="D10" i="18"/>
  <c r="D52" i="18" s="1"/>
  <c r="C10" i="18"/>
  <c r="C51" i="18" s="1"/>
  <c r="S5" i="17" l="1"/>
  <c r="E20" i="1"/>
  <c r="K10" i="18"/>
  <c r="K52" i="18" l="1"/>
  <c r="M10" i="18"/>
  <c r="M52" i="18" s="1"/>
  <c r="K5" i="17" l="1"/>
  <c r="T5" i="17" s="1"/>
  <c r="V5" i="17" s="1"/>
  <c r="K6" i="17"/>
  <c r="K7" i="17"/>
  <c r="T7" i="17" s="1"/>
  <c r="V7" i="17" s="1"/>
  <c r="W7" i="17" s="1"/>
  <c r="B10" i="4" s="1"/>
  <c r="K8" i="17"/>
  <c r="T8" i="17" s="1"/>
  <c r="V8" i="17" s="1"/>
  <c r="W8" i="17" s="1"/>
  <c r="B11" i="4" s="1"/>
  <c r="K9" i="17"/>
  <c r="T9" i="17" s="1"/>
  <c r="V9" i="17" s="1"/>
  <c r="W9" i="17" s="1"/>
  <c r="B12" i="4" s="1"/>
  <c r="K10" i="17"/>
  <c r="T10" i="17" s="1"/>
  <c r="V10" i="17" s="1"/>
  <c r="W10" i="17" s="1"/>
  <c r="B13" i="4" s="1"/>
  <c r="K11" i="17"/>
  <c r="T11" i="17" s="1"/>
  <c r="V11" i="17" s="1"/>
  <c r="W11" i="17" s="1"/>
  <c r="B14" i="4" s="1"/>
  <c r="K12" i="17"/>
  <c r="T12" i="17" s="1"/>
  <c r="V12" i="17" s="1"/>
  <c r="W12" i="17" s="1"/>
  <c r="B15" i="4" s="1"/>
  <c r="K13" i="17"/>
  <c r="T13" i="17" s="1"/>
  <c r="V13" i="17" s="1"/>
  <c r="W13" i="17" s="1"/>
  <c r="B16" i="4" s="1"/>
  <c r="K14" i="17"/>
  <c r="T14" i="17" s="1"/>
  <c r="V14" i="17" s="1"/>
  <c r="W14" i="17" s="1"/>
  <c r="B17" i="4" s="1"/>
  <c r="K15" i="17"/>
  <c r="T15" i="17" s="1"/>
  <c r="V15" i="17" s="1"/>
  <c r="W15" i="17" s="1"/>
  <c r="B18" i="4" s="1"/>
  <c r="K16" i="17"/>
  <c r="T16" i="17" s="1"/>
  <c r="V16" i="17" s="1"/>
  <c r="W16" i="17" s="1"/>
  <c r="B19" i="4" s="1"/>
  <c r="K17" i="17"/>
  <c r="T17" i="17" s="1"/>
  <c r="V17" i="17" s="1"/>
  <c r="W17" i="17" s="1"/>
  <c r="B20" i="4" s="1"/>
  <c r="K18" i="17"/>
  <c r="T18" i="17" s="1"/>
  <c r="V18" i="17" s="1"/>
  <c r="W18" i="17" s="1"/>
  <c r="B21" i="4" s="1"/>
  <c r="K19" i="17"/>
  <c r="T19" i="17" s="1"/>
  <c r="V19" i="17" s="1"/>
  <c r="W19" i="17" s="1"/>
  <c r="B22" i="4" s="1"/>
  <c r="K20" i="17"/>
  <c r="T20" i="17" s="1"/>
  <c r="V20" i="17" s="1"/>
  <c r="W20" i="17" s="1"/>
  <c r="B23" i="4" s="1"/>
  <c r="K21" i="17"/>
  <c r="T21" i="17" s="1"/>
  <c r="V21" i="17" s="1"/>
  <c r="W21" i="17" s="1"/>
  <c r="B24" i="4" s="1"/>
  <c r="K22" i="17"/>
  <c r="T22" i="17" s="1"/>
  <c r="V22" i="17" s="1"/>
  <c r="W22" i="17" s="1"/>
  <c r="B25" i="4" s="1"/>
  <c r="K23" i="17"/>
  <c r="T23" i="17" s="1"/>
  <c r="V23" i="17" s="1"/>
  <c r="W23" i="17" s="1"/>
  <c r="B26" i="4" s="1"/>
  <c r="K24" i="17"/>
  <c r="T24" i="17" s="1"/>
  <c r="V24" i="17" s="1"/>
  <c r="W24" i="17" s="1"/>
  <c r="B27" i="4" s="1"/>
  <c r="K25" i="17"/>
  <c r="T25" i="17" s="1"/>
  <c r="V25" i="17" s="1"/>
  <c r="W25" i="17" s="1"/>
  <c r="B28" i="4" s="1"/>
  <c r="K26" i="17"/>
  <c r="T26" i="17" s="1"/>
  <c r="V26" i="17" s="1"/>
  <c r="W26" i="17" s="1"/>
  <c r="B29" i="4" s="1"/>
  <c r="K27" i="17"/>
  <c r="T27" i="17" s="1"/>
  <c r="V27" i="17" s="1"/>
  <c r="W27" i="17" s="1"/>
  <c r="B30" i="4" s="1"/>
  <c r="K28" i="17"/>
  <c r="T28" i="17" s="1"/>
  <c r="V28" i="17" s="1"/>
  <c r="W28" i="17" s="1"/>
  <c r="B31" i="4" s="1"/>
  <c r="K29" i="17"/>
  <c r="T29" i="17" s="1"/>
  <c r="V29" i="17" s="1"/>
  <c r="W29" i="17" s="1"/>
  <c r="B32" i="4" s="1"/>
  <c r="K30" i="17"/>
  <c r="T30" i="17" s="1"/>
  <c r="V30" i="17" s="1"/>
  <c r="W30" i="17" s="1"/>
  <c r="B33" i="4" s="1"/>
  <c r="K31" i="17"/>
  <c r="T31" i="17" s="1"/>
  <c r="V31" i="17" s="1"/>
  <c r="W31" i="17" s="1"/>
  <c r="B34" i="4" s="1"/>
  <c r="K32" i="17"/>
  <c r="T32" i="17" s="1"/>
  <c r="V32" i="17" s="1"/>
  <c r="W32" i="17" s="1"/>
  <c r="B35" i="4" s="1"/>
  <c r="K33" i="17"/>
  <c r="T33" i="17" s="1"/>
  <c r="V33" i="17" s="1"/>
  <c r="W33" i="17" s="1"/>
  <c r="B36" i="4" s="1"/>
  <c r="K34" i="17"/>
  <c r="T34" i="17" s="1"/>
  <c r="V34" i="17" s="1"/>
  <c r="W34" i="17" s="1"/>
  <c r="B37" i="4" s="1"/>
  <c r="K35" i="17"/>
  <c r="T35" i="17" s="1"/>
  <c r="V35" i="17" s="1"/>
  <c r="W35" i="17" s="1"/>
  <c r="B38" i="4" s="1"/>
  <c r="K36" i="17"/>
  <c r="T36" i="17" s="1"/>
  <c r="V36" i="17" s="1"/>
  <c r="W36" i="17" s="1"/>
  <c r="B39" i="4" s="1"/>
  <c r="K37" i="17"/>
  <c r="T37" i="17" s="1"/>
  <c r="V37" i="17" s="1"/>
  <c r="W37" i="17" s="1"/>
  <c r="B40" i="4" s="1"/>
  <c r="K38" i="17"/>
  <c r="T38" i="17" s="1"/>
  <c r="V38" i="17" s="1"/>
  <c r="W38" i="17" s="1"/>
  <c r="B41" i="4" s="1"/>
  <c r="K39" i="17"/>
  <c r="T39" i="17" s="1"/>
  <c r="V39" i="17" s="1"/>
  <c r="W39" i="17" s="1"/>
  <c r="B42" i="4" s="1"/>
  <c r="K40" i="17"/>
  <c r="T40" i="17" s="1"/>
  <c r="V40" i="17" s="1"/>
  <c r="W40" i="17" s="1"/>
  <c r="B43" i="4" s="1"/>
  <c r="K41" i="17"/>
  <c r="T41" i="17" s="1"/>
  <c r="V41" i="17" s="1"/>
  <c r="W41" i="17" s="1"/>
  <c r="B44" i="4" s="1"/>
  <c r="K42" i="17"/>
  <c r="T42" i="17" s="1"/>
  <c r="V42" i="17" s="1"/>
  <c r="W42" i="17" s="1"/>
  <c r="B45" i="4" s="1"/>
  <c r="K43" i="17"/>
  <c r="T43" i="17" s="1"/>
  <c r="V43" i="17" s="1"/>
  <c r="W43" i="17" s="1"/>
  <c r="B46" i="4" s="1"/>
  <c r="K44" i="17"/>
  <c r="T44" i="17" s="1"/>
  <c r="V44" i="17" s="1"/>
  <c r="W44" i="17" s="1"/>
  <c r="B47" i="4" s="1"/>
  <c r="K45" i="17"/>
  <c r="T45" i="17" s="1"/>
  <c r="V45" i="17" s="1"/>
  <c r="W45" i="17" s="1"/>
  <c r="B48" i="4" s="1"/>
  <c r="D46" i="17"/>
  <c r="E46" i="17"/>
  <c r="F46" i="17"/>
  <c r="G46" i="17"/>
  <c r="H46" i="17"/>
  <c r="I46" i="17"/>
  <c r="J46" i="17"/>
  <c r="L46" i="17"/>
  <c r="N46" i="17"/>
  <c r="O46" i="17"/>
  <c r="P46" i="17"/>
  <c r="Q46" i="17"/>
  <c r="R46" i="17"/>
  <c r="S46" i="17"/>
  <c r="U46" i="17"/>
  <c r="K46" i="17" l="1"/>
  <c r="T6" i="17"/>
  <c r="W5" i="17"/>
  <c r="C24" i="1"/>
  <c r="C23" i="1"/>
  <c r="C22" i="1"/>
  <c r="C21" i="1"/>
  <c r="C16" i="1"/>
  <c r="C15" i="1"/>
  <c r="C14" i="1"/>
  <c r="C13" i="1"/>
  <c r="C12" i="1"/>
  <c r="B8" i="4" l="1"/>
  <c r="V6" i="17"/>
  <c r="T46" i="17"/>
  <c r="W6" i="17" l="1"/>
  <c r="V46" i="17"/>
  <c r="B9" i="4" l="1"/>
  <c r="W46" i="17"/>
  <c r="E37" i="1" l="1"/>
  <c r="E17" i="1" l="1"/>
  <c r="E25" i="1" l="1"/>
  <c r="E27" i="1" s="1"/>
  <c r="E31" i="1" s="1"/>
  <c r="E33" i="1" s="1"/>
  <c r="D29" i="4"/>
  <c r="D22" i="4"/>
  <c r="D37" i="4"/>
  <c r="D23" i="4"/>
  <c r="D36" i="4"/>
  <c r="D12" i="4"/>
  <c r="D35" i="4"/>
  <c r="D26" i="4"/>
  <c r="D38" i="4"/>
  <c r="D24" i="4"/>
  <c r="D10" i="4"/>
  <c r="D25" i="4"/>
  <c r="D13" i="4"/>
  <c r="D30" i="4"/>
  <c r="D15" i="4"/>
  <c r="D18" i="4"/>
  <c r="D33" i="4"/>
  <c r="D16" i="4"/>
  <c r="D17" i="4"/>
  <c r="D47" i="4"/>
  <c r="D45" i="4"/>
  <c r="D21" i="4"/>
  <c r="D11" i="4"/>
  <c r="D46" i="4"/>
  <c r="D14" i="4"/>
  <c r="D34" i="4"/>
  <c r="D48" i="4"/>
  <c r="D31" i="4" l="1"/>
  <c r="D19" i="4"/>
  <c r="D27" i="4"/>
  <c r="D43" i="4"/>
  <c r="D32" i="4"/>
  <c r="D20" i="4"/>
  <c r="D40" i="4" l="1"/>
  <c r="D39" i="4"/>
  <c r="D28" i="4"/>
  <c r="D41" i="4"/>
  <c r="D42" i="4"/>
  <c r="D44" i="4"/>
  <c r="D8" i="4" l="1"/>
  <c r="D9" i="4" l="1"/>
  <c r="D49" i="4" s="1"/>
  <c r="B5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cdudley</author>
  </authors>
  <commentList>
    <comment ref="C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This page number is from the Annual Report and AFR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H9" authorId="0" shapeId="0" xr:uid="{D6BA68DB-23A2-4508-8CAD-AA94316EA114}">
      <text>
        <r>
          <rPr>
            <sz val="8"/>
            <color indexed="81"/>
            <rFont val="Tahoma"/>
            <family val="2"/>
          </rPr>
          <t>Ok to go above the statutory ceiling because the levy is still under the certified tax rate.  See 59-2-914(3)(a)  It is important that in the case of a voted or board leeway that the levy does not go above that voted by the public or by the local school board.</t>
        </r>
      </text>
    </comment>
  </commentList>
</comments>
</file>

<file path=xl/sharedStrings.xml><?xml version="1.0" encoding="utf-8"?>
<sst xmlns="http://schemas.openxmlformats.org/spreadsheetml/2006/main" count="997" uniqueCount="732">
  <si>
    <t>Fund Transfer Worksheet</t>
  </si>
  <si>
    <t>Items</t>
  </si>
  <si>
    <t>Page # of Report</t>
  </si>
  <si>
    <t>A. Maintenance and Operation Fund (AR)</t>
  </si>
  <si>
    <t>C.     Less-Site Acquisition (AFR)</t>
  </si>
  <si>
    <t>D.     Less-New Sq. Ft. Construction (AFR)</t>
  </si>
  <si>
    <t>E.     Less-Remodeling (AFR)</t>
  </si>
  <si>
    <t>F.</t>
  </si>
  <si>
    <t>Less Revenues:</t>
  </si>
  <si>
    <t>Total Expenditures Before Interfund Transfers:</t>
  </si>
  <si>
    <t>H. State Revenue [M&amp;O] (AR)</t>
  </si>
  <si>
    <t>I.  Federal Revenue [M&amp;O] (AR)</t>
  </si>
  <si>
    <t>J. State Revenue [CO] (AR)</t>
  </si>
  <si>
    <t>K. Federal Revenue [CO] (AR)</t>
  </si>
  <si>
    <t>L.</t>
  </si>
  <si>
    <t>Total (A through E)</t>
  </si>
  <si>
    <t>Total (G through K)</t>
  </si>
  <si>
    <t>M.</t>
  </si>
  <si>
    <t>N.</t>
  </si>
  <si>
    <t>O.</t>
  </si>
  <si>
    <t>P.</t>
  </si>
  <si>
    <t>Local Expenditure per Student (Divide M by N)</t>
  </si>
  <si>
    <t xml:space="preserve">R.  </t>
  </si>
  <si>
    <t xml:space="preserve">Q.  </t>
  </si>
  <si>
    <t>Difference (F minus L)</t>
  </si>
  <si>
    <t>Use this worksheet to calculate the per pupil share of local school district funds to</t>
  </si>
  <si>
    <t>Name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</si>
  <si>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</si>
  <si>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</si>
  <si>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</si>
  <si>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</si>
  <si>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</si>
  <si>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</si>
  <si>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</si>
  <si>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</si>
  <si>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</si>
  <si>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</si>
  <si>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</si>
  <si>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</si>
  <si>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</si>
  <si>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</si>
  <si>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</si>
  <si>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</si>
  <si>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Alpine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</si>
  <si>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</si>
  <si>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</si>
  <si>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</si>
  <si>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</si>
  <si>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</si>
  <si>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</si>
  <si>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</si>
  <si>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</si>
  <si>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</si>
  <si>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</si>
  <si>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Granite</t>
  </si>
  <si>
    <t>Iron</t>
  </si>
  <si>
    <t>Jordan</t>
  </si>
  <si>
    <t>Juab</t>
  </si>
  <si>
    <t>Kane</t>
  </si>
  <si>
    <t>Millard</t>
  </si>
  <si>
    <t>Morgan</t>
  </si>
  <si>
    <t>Nebo</t>
  </si>
  <si>
    <t>No. Sanpete</t>
  </si>
  <si>
    <t>No. Summit</t>
  </si>
  <si>
    <t>Park City</t>
  </si>
  <si>
    <t>Piute</t>
  </si>
  <si>
    <t>Rich</t>
  </si>
  <si>
    <t>San Juan</t>
  </si>
  <si>
    <t>Sevier</t>
  </si>
  <si>
    <t>So. Sanpete</t>
  </si>
  <si>
    <t>So. Summit</t>
  </si>
  <si>
    <t>Tintic</t>
  </si>
  <si>
    <t>Tooele</t>
  </si>
  <si>
    <t>Wasatch</t>
  </si>
  <si>
    <t>Washington</t>
  </si>
  <si>
    <t>Wayne</t>
  </si>
  <si>
    <t>Weber</t>
  </si>
  <si>
    <t>Salt Lake</t>
  </si>
  <si>
    <t>Ogden</t>
  </si>
  <si>
    <t>Provo</t>
  </si>
  <si>
    <t>Logan</t>
  </si>
  <si>
    <t>Murray</t>
  </si>
  <si>
    <t>Local</t>
  </si>
  <si>
    <t>Amount</t>
  </si>
  <si>
    <t>Total</t>
  </si>
  <si>
    <t>Students</t>
  </si>
  <si>
    <t>Summary of 50% of Local Expenditure per Student</t>
  </si>
  <si>
    <t>District</t>
  </si>
  <si>
    <t>per Student</t>
  </si>
  <si>
    <t>Number of</t>
  </si>
  <si>
    <t>50% Allotment (O times 50%) (Not less than zero)</t>
  </si>
  <si>
    <t>Voted</t>
  </si>
  <si>
    <t>Board</t>
  </si>
  <si>
    <t>State-Supported</t>
  </si>
  <si>
    <t>Capital</t>
  </si>
  <si>
    <t>Program</t>
  </si>
  <si>
    <t>Total Amounts</t>
  </si>
  <si>
    <t>B1</t>
  </si>
  <si>
    <t>B2</t>
  </si>
  <si>
    <t>Rate</t>
  </si>
  <si>
    <t>B. Capital Outlay Expenditures</t>
  </si>
  <si>
    <t>Estimated Assessed Valuations and Final Approved School District Tax Rates</t>
  </si>
  <si>
    <t>AVERAGE</t>
  </si>
  <si>
    <t>Total Final</t>
  </si>
  <si>
    <t>Local School</t>
  </si>
  <si>
    <t>Operation</t>
  </si>
  <si>
    <t>District Levy</t>
  </si>
  <si>
    <t>Average Levies</t>
  </si>
  <si>
    <t>****General Obligation Bond Debt</t>
  </si>
  <si>
    <t>Uintah</t>
  </si>
  <si>
    <t>Local School District</t>
  </si>
  <si>
    <t>R277-437</t>
  </si>
  <si>
    <t>Canyons</t>
  </si>
  <si>
    <t>Debt</t>
  </si>
  <si>
    <t>(Source:  Utah State Tax Commission, Property Tax Division)</t>
  </si>
  <si>
    <t>11-14-310**</t>
  </si>
  <si>
    <t>Statutory Maximum</t>
  </si>
  <si>
    <t>None</t>
  </si>
  <si>
    <t>USTC Budget Code</t>
  </si>
  <si>
    <t>Local Levy</t>
  </si>
  <si>
    <t>Service****</t>
  </si>
  <si>
    <t xml:space="preserve">and </t>
  </si>
  <si>
    <t>Levy</t>
  </si>
  <si>
    <t>Taxes</t>
  </si>
  <si>
    <t xml:space="preserve">Sevier </t>
  </si>
  <si>
    <t xml:space="preserve">Information for this worksheet is taken from the summary of Annual Financial Reports </t>
  </si>
  <si>
    <t>Number of Students Attending other LEAs</t>
  </si>
  <si>
    <t>Discharge</t>
  </si>
  <si>
    <t>of</t>
  </si>
  <si>
    <t>59-2-1330**</t>
  </si>
  <si>
    <t xml:space="preserve">Maintenance </t>
  </si>
  <si>
    <t>Judgement</t>
  </si>
  <si>
    <t>Residual per Student Expenditure</t>
  </si>
  <si>
    <t>Total Exp Less Prop, Bldg, Construction</t>
  </si>
  <si>
    <t>Prop Tax Rev</t>
  </si>
  <si>
    <t>Local Rev Collected Under Basic Rate (MSP)</t>
  </si>
  <si>
    <t>State Rev -Cap. Projects</t>
  </si>
  <si>
    <t>State Revenue Gen Fund</t>
  </si>
  <si>
    <t>Fed Rev-Cap. Projects</t>
  </si>
  <si>
    <t>Total Local, State, Federal Rev</t>
  </si>
  <si>
    <t>Total Exp Less Local, State, Fed Rev &amp; Exp for Prop., Bldg, Construction</t>
  </si>
  <si>
    <t>UCA 53G-6-405</t>
  </si>
  <si>
    <t>Utah State Board of Education</t>
  </si>
  <si>
    <t>Charter</t>
  </si>
  <si>
    <t>Values Adj. for</t>
  </si>
  <si>
    <t>School Levy</t>
  </si>
  <si>
    <t>RDA &amp; BOE</t>
  </si>
  <si>
    <t>53F-2-301.5**</t>
  </si>
  <si>
    <t>53F-8-302**</t>
  </si>
  <si>
    <t>53F-2-703,704</t>
  </si>
  <si>
    <t>53F-8-303**</t>
  </si>
  <si>
    <t>53F-8-301**</t>
  </si>
  <si>
    <t xml:space="preserve"> *From initial Roll Values from the State Tax Commission with estimated fees-in-lieu, less adjustments calculated from estimated redevelopment increment data from</t>
  </si>
  <si>
    <t xml:space="preserve">    redevelopment agencies.</t>
  </si>
  <si>
    <t>**Section of Utah Code 2018 that authorizes levy.</t>
  </si>
  <si>
    <t>***Adjusted for redevelopment &amp; board of equalization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</si>
  <si>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</si>
  <si>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</si>
  <si>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</si>
  <si>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</si>
  <si>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</si>
  <si>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</si>
  <si>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</si>
  <si>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</si>
  <si>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</si>
  <si>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</si>
  <si>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</si>
  <si>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</si>
  <si>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</si>
  <si>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</si>
  <si>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</si>
  <si>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</si>
  <si>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</si>
  <si>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</si>
  <si>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</si>
  <si>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</si>
  <si>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</si>
  <si>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</si>
  <si>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</si>
  <si>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</si>
  <si>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</si>
  <si>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</si>
  <si>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</si>
  <si>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</si>
  <si>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</si>
  <si>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</si>
  <si>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</si>
  <si>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</si>
  <si>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</si>
  <si>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</si>
  <si>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</si>
  <si>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</si>
  <si>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</si>
  <si>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</si>
  <si>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</si>
  <si>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</si>
  <si>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042</t>
  </si>
  <si>
    <t>Capital Outlay Total Expenditures</t>
  </si>
  <si>
    <t>Interest</t>
  </si>
  <si>
    <t>Redemption of Principal</t>
  </si>
  <si>
    <t>ID</t>
  </si>
  <si>
    <t>***Initial</t>
  </si>
  <si>
    <t>W/O Charter</t>
  </si>
  <si>
    <t>AFR-Total Property</t>
  </si>
  <si>
    <t>AFR-Total Building</t>
  </si>
  <si>
    <t>AFR-Total Construction</t>
  </si>
  <si>
    <t>Fed Revenue Gen fund</t>
  </si>
  <si>
    <t>General Fund 10 less local replacement (5619)</t>
  </si>
  <si>
    <t>Fund 32 Less Local Replacement (5619)</t>
  </si>
  <si>
    <t>Fund 10
Revenue 1100s Property Taxes</t>
  </si>
  <si>
    <t>Amount Due Other LEA (P times Q)</t>
  </si>
  <si>
    <t>Average Daily Membership</t>
  </si>
  <si>
    <t>G. Taxes Collected Under MSP Basic Rate (AFR/AR)</t>
  </si>
  <si>
    <t>Statute and Rule:</t>
  </si>
  <si>
    <t>of school districts.</t>
  </si>
  <si>
    <t xml:space="preserve">Type District Name Here: </t>
  </si>
  <si>
    <t>be forwarded to another school district from the school district of residence</t>
  </si>
  <si>
    <t>for students attending schools within the host school district.</t>
  </si>
  <si>
    <t>Fund 32 
Rev 4*</t>
  </si>
  <si>
    <t>Fund 32
Rev 3*</t>
  </si>
  <si>
    <t>Fund 10
Rev 4*</t>
  </si>
  <si>
    <t>Fund 10
Rev 3*</t>
  </si>
  <si>
    <t>VALTAX</t>
  </si>
  <si>
    <t>Fund 32
Func 4*
Obj 450</t>
  </si>
  <si>
    <t>Fund 32
Func 4*
Obj 720</t>
  </si>
  <si>
    <t>Fund 32
Func 4*
Obj 710</t>
  </si>
  <si>
    <t>Fund 32
Func 5*
Obj 840</t>
  </si>
  <si>
    <t>Fund 32
Func 5*
Obj 830</t>
  </si>
  <si>
    <t>General Fund Total Expendutures</t>
  </si>
  <si>
    <t>Tax Year 2023 - FY 2023-24</t>
  </si>
  <si>
    <t>Required  Basic</t>
  </si>
  <si>
    <t>2022-23</t>
  </si>
  <si>
    <t xml:space="preserve"> November 2022</t>
  </si>
  <si>
    <t>K-12 +SC ADM-FY23</t>
  </si>
  <si>
    <t>Phase</t>
  </si>
  <si>
    <t>LEA Name</t>
  </si>
  <si>
    <t>Type</t>
  </si>
  <si>
    <t>FY22ADM - SPED Resource</t>
  </si>
  <si>
    <t>FY22ADM - SPED Self-Contained</t>
  </si>
  <si>
    <t>Oct 1, 2022 - K</t>
  </si>
  <si>
    <t>Oct 1, 2022 - Grades 1-6</t>
  </si>
  <si>
    <t>Oct 1, 2022 - Grades 7-8</t>
  </si>
  <si>
    <t>Oct 1, 2022 - Grades 9-12</t>
  </si>
  <si>
    <t>Oct 1, 2022 - Grades K-12</t>
  </si>
  <si>
    <t>Oct 1, 2022 - Grades 1-12</t>
  </si>
  <si>
    <t>Oct 1, 2022 - Grades K-8</t>
  </si>
  <si>
    <t>Oct 1, 2022 - Self-Contained</t>
  </si>
  <si>
    <t>FY23 ADM - K</t>
  </si>
  <si>
    <t>FY23 ADM - Grade 1</t>
  </si>
  <si>
    <t>FY23 ADM - Grade 2</t>
  </si>
  <si>
    <t>FY23 ADM - Grade 3</t>
  </si>
  <si>
    <t>FY23 ADM - Grade 4</t>
  </si>
  <si>
    <t>FY23 ADM - Grade 5</t>
  </si>
  <si>
    <t>FY23 ADM - Grade 6</t>
  </si>
  <si>
    <t>FY23 ADM - Grade 7</t>
  </si>
  <si>
    <t>FY23 ADM - Grade 8</t>
  </si>
  <si>
    <t>FY23 ADM - Grade 9</t>
  </si>
  <si>
    <t>FY23 ADM - Grade 10</t>
  </si>
  <si>
    <t>FY23 ADM - Grade 11</t>
  </si>
  <si>
    <t>FY23 ADM - Grade 12</t>
  </si>
  <si>
    <t>FY23 ADM - Grades 1-6</t>
  </si>
  <si>
    <t>FY23 ADM - Grades 7-8</t>
  </si>
  <si>
    <t>FY23 ADM - Grades 9-12</t>
  </si>
  <si>
    <t>FY23 ADM - Grades K-8</t>
  </si>
  <si>
    <t>FY23 ADM - Grades 1-12</t>
  </si>
  <si>
    <t>FY23 ADM - Grades K-12</t>
  </si>
  <si>
    <t>FY23ADM - SPED Resource</t>
  </si>
  <si>
    <t>FY23ADM - SPED Self-Contained</t>
  </si>
  <si>
    <t>FY23ADM - Total SPED</t>
  </si>
  <si>
    <t>Oct. 1, 2023 - K</t>
  </si>
  <si>
    <t>Oct. 1, 2023 - Grade 1</t>
  </si>
  <si>
    <t>Oct. 1, 2023 - Grade 2</t>
  </si>
  <si>
    <t>Oct. 1, 2023 - Grade 3</t>
  </si>
  <si>
    <t>Oct. 1, 2023 - Grade 4</t>
  </si>
  <si>
    <t>Oct. 1, 2023 - Grade 5</t>
  </si>
  <si>
    <t>Oct. 1, 2023 - Grade 6</t>
  </si>
  <si>
    <t>Oct. 1, 2023 - Grade 7</t>
  </si>
  <si>
    <t>Oct. 1, 2023 - Grade 8</t>
  </si>
  <si>
    <t>Oct. 1, 2023 - Grade 9</t>
  </si>
  <si>
    <t>Oct. 1, 2023 - Grade 10</t>
  </si>
  <si>
    <t>Oct. 1, 2023 - Grade 11</t>
  </si>
  <si>
    <t>Oct. 1, 2023 - Grade 12</t>
  </si>
  <si>
    <t>Oct. 1, 2023 - Grades 1-6</t>
  </si>
  <si>
    <t>Oct. 1, 2023 - Grades 7-8</t>
  </si>
  <si>
    <t>Oct. 1, 2023 - Grades 9-12</t>
  </si>
  <si>
    <t>Oct. 1, 2023 - Grades K-8</t>
  </si>
  <si>
    <t>Oct. 1, 2023 - Grades 1-12</t>
  </si>
  <si>
    <t>Oct. 1, 2023 - Grades K-12</t>
  </si>
  <si>
    <t>Oct. 1, 2023 - FDK Counts</t>
  </si>
  <si>
    <t>Oct. 1, 2023 - HDK Counts</t>
  </si>
  <si>
    <t>Oct. 1, 2023 - Foreign Exchange</t>
  </si>
  <si>
    <t>Oct. 1, 2023 - Econ. Disadv.</t>
  </si>
  <si>
    <t>Oct. 1, 2023 - SPED Resource</t>
  </si>
  <si>
    <t>Oct. 1, 2023 - SPED Self-Contained</t>
  </si>
  <si>
    <t>Oct. 1, 2023 - Total SPED</t>
  </si>
  <si>
    <t>Oct. 1, 2023 - LEP</t>
  </si>
  <si>
    <t>Oct 1, 2024 (CDC) - K</t>
  </si>
  <si>
    <t>Oct 1, 2024 (CDC) - Grades 1-12</t>
  </si>
  <si>
    <t>Oct 1, 2024 (CDC) - Grades 1-6</t>
  </si>
  <si>
    <t>Oct 1, 2024 (CDC) - Grades 7-8</t>
  </si>
  <si>
    <t>Oct 1, 2024 (CDC) - Grades 9-12</t>
  </si>
  <si>
    <t>Oct 1, 2024 (CDC) - Grades K-12</t>
  </si>
  <si>
    <t>Prostaff Ratios</t>
  </si>
  <si>
    <t>ESA - All</t>
  </si>
  <si>
    <t>ESA - Educators Only</t>
  </si>
  <si>
    <t>TSM FTE</t>
  </si>
  <si>
    <t>Educ. Prof. Hrs. FTE</t>
  </si>
  <si>
    <t xml:space="preserve">Oct 1 2020 Counts - Online Students &gt;180 Days </t>
  </si>
  <si>
    <t>Oct 1 2023 Counts - Online Students &gt;180 Days in FY2023/Still Online on Oct 1</t>
  </si>
  <si>
    <t xml:space="preserve">FY23 ADM - Online Students &gt;180 Days </t>
  </si>
  <si>
    <t>Alpine School District</t>
  </si>
  <si>
    <t>Beaver Co School District</t>
  </si>
  <si>
    <t>Box Elder Co School District</t>
  </si>
  <si>
    <t>Cache Co School District</t>
  </si>
  <si>
    <t>050</t>
  </si>
  <si>
    <t>Carbon Co School District</t>
  </si>
  <si>
    <t>060</t>
  </si>
  <si>
    <t>Daggett Co School District</t>
  </si>
  <si>
    <t>070</t>
  </si>
  <si>
    <t>Davis Co School District</t>
  </si>
  <si>
    <t>080</t>
  </si>
  <si>
    <t>Duchesne Co School District</t>
  </si>
  <si>
    <t>090</t>
  </si>
  <si>
    <t>Emery School District</t>
  </si>
  <si>
    <t>100</t>
  </si>
  <si>
    <t>Garfield Co School District</t>
  </si>
  <si>
    <t>110</t>
  </si>
  <si>
    <t>Grand Co School District</t>
  </si>
  <si>
    <t>120</t>
  </si>
  <si>
    <t>Granite School District</t>
  </si>
  <si>
    <t>130</t>
  </si>
  <si>
    <t>Iron Co School District</t>
  </si>
  <si>
    <t>140</t>
  </si>
  <si>
    <t>Jordan School District</t>
  </si>
  <si>
    <t>150</t>
  </si>
  <si>
    <t>Juab School District</t>
  </si>
  <si>
    <t>160</t>
  </si>
  <si>
    <t>Kane Co School District</t>
  </si>
  <si>
    <t>170</t>
  </si>
  <si>
    <t>Millard School District</t>
  </si>
  <si>
    <t>180</t>
  </si>
  <si>
    <t>Morgan School District</t>
  </si>
  <si>
    <t>190</t>
  </si>
  <si>
    <t>Nebo School District</t>
  </si>
  <si>
    <t>200</t>
  </si>
  <si>
    <t>North Sanpete School District</t>
  </si>
  <si>
    <t>210</t>
  </si>
  <si>
    <t>North Summit School District</t>
  </si>
  <si>
    <t>220</t>
  </si>
  <si>
    <t>Park City School District</t>
  </si>
  <si>
    <t>230</t>
  </si>
  <si>
    <t>Piute School District</t>
  </si>
  <si>
    <t>240</t>
  </si>
  <si>
    <t>Rich School District</t>
  </si>
  <si>
    <t>250</t>
  </si>
  <si>
    <t>San Juan School District</t>
  </si>
  <si>
    <t>260</t>
  </si>
  <si>
    <t>Sevier School District</t>
  </si>
  <si>
    <t>270</t>
  </si>
  <si>
    <t>South Sanpete School District</t>
  </si>
  <si>
    <t>280</t>
  </si>
  <si>
    <t>South Summit School District</t>
  </si>
  <si>
    <t>290</t>
  </si>
  <si>
    <t>Tintic School District</t>
  </si>
  <si>
    <t>300</t>
  </si>
  <si>
    <t>Tooele School District</t>
  </si>
  <si>
    <t>310</t>
  </si>
  <si>
    <t>Uintah School District</t>
  </si>
  <si>
    <t>320</t>
  </si>
  <si>
    <t>Wasatch School District</t>
  </si>
  <si>
    <t>330</t>
  </si>
  <si>
    <t>Washington Co School Dist</t>
  </si>
  <si>
    <t>340</t>
  </si>
  <si>
    <t>Wayne School District</t>
  </si>
  <si>
    <t>350</t>
  </si>
  <si>
    <t>Weber Co School District</t>
  </si>
  <si>
    <t>360</t>
  </si>
  <si>
    <t>SLC School District</t>
  </si>
  <si>
    <t>370</t>
  </si>
  <si>
    <t>Ogden City School District</t>
  </si>
  <si>
    <t>380</t>
  </si>
  <si>
    <t>Provo School District</t>
  </si>
  <si>
    <t>390</t>
  </si>
  <si>
    <t>Logan City School District</t>
  </si>
  <si>
    <t>400</t>
  </si>
  <si>
    <t>Murray School District</t>
  </si>
  <si>
    <t>Utah Schools for the Deaf and Blind</t>
  </si>
  <si>
    <t>Other</t>
  </si>
  <si>
    <t>420</t>
  </si>
  <si>
    <t>Canyons School District</t>
  </si>
  <si>
    <t>680</t>
  </si>
  <si>
    <t>Ogden Preparatory Academy</t>
  </si>
  <si>
    <t>Sevier School District (CUES)</t>
  </si>
  <si>
    <t>Wasatch School District (NUES)</t>
  </si>
  <si>
    <t>Carbon Co School District (SESC)</t>
  </si>
  <si>
    <t>Iron Co School District (SEDC)</t>
  </si>
  <si>
    <t>740</t>
  </si>
  <si>
    <t>American Preparatory (Utah Charter Academies Inc)</t>
  </si>
  <si>
    <t>810</t>
  </si>
  <si>
    <t>Walden School</t>
  </si>
  <si>
    <t>820</t>
  </si>
  <si>
    <t>Freedom Academy</t>
  </si>
  <si>
    <t>830</t>
  </si>
  <si>
    <t>AMES</t>
  </si>
  <si>
    <t>860</t>
  </si>
  <si>
    <t>Pinnacle Canyon Academy</t>
  </si>
  <si>
    <t>870</t>
  </si>
  <si>
    <t>City Academy</t>
  </si>
  <si>
    <t>890</t>
  </si>
  <si>
    <t>Soldier Hollow Charter School</t>
  </si>
  <si>
    <t>910</t>
  </si>
  <si>
    <t>Utah Arts Academy</t>
  </si>
  <si>
    <t>920</t>
  </si>
  <si>
    <t>Uintah River High School</t>
  </si>
  <si>
    <t>930</t>
  </si>
  <si>
    <t>John Hancock Charter School Foundation</t>
  </si>
  <si>
    <t>940</t>
  </si>
  <si>
    <t>Thomas Edison Charter School</t>
  </si>
  <si>
    <t>950</t>
  </si>
  <si>
    <t>Timpanogos Academy</t>
  </si>
  <si>
    <t>970</t>
  </si>
  <si>
    <t>Salt Lake Arts Academy</t>
  </si>
  <si>
    <t>980</t>
  </si>
  <si>
    <t>Fast Forward Charter High School</t>
  </si>
  <si>
    <t>1B</t>
  </si>
  <si>
    <t>1B0</t>
  </si>
  <si>
    <t>Utah County Academy of Sciences</t>
  </si>
  <si>
    <t>1C</t>
  </si>
  <si>
    <t>1C0</t>
  </si>
  <si>
    <t>Odyssey Charter School</t>
  </si>
  <si>
    <t>1D</t>
  </si>
  <si>
    <t>1D0</t>
  </si>
  <si>
    <t>Renaissance Academy</t>
  </si>
  <si>
    <t>1E</t>
  </si>
  <si>
    <t>1E0</t>
  </si>
  <si>
    <t>Guadalupe School Salt Lake City School Dist</t>
  </si>
  <si>
    <t>1F</t>
  </si>
  <si>
    <t>1F0</t>
  </si>
  <si>
    <t>Quest Academy</t>
  </si>
  <si>
    <t>1G</t>
  </si>
  <si>
    <t>1G0</t>
  </si>
  <si>
    <t>Jefferson Academy</t>
  </si>
  <si>
    <t>1I</t>
  </si>
  <si>
    <t>1I0</t>
  </si>
  <si>
    <t>Utah International Charter School</t>
  </si>
  <si>
    <t>1K</t>
  </si>
  <si>
    <t>1K0</t>
  </si>
  <si>
    <t>Vanguard Academy Inc</t>
  </si>
  <si>
    <t>1L</t>
  </si>
  <si>
    <t>1L0</t>
  </si>
  <si>
    <t>Athlos Academies</t>
  </si>
  <si>
    <t>1M</t>
  </si>
  <si>
    <t>1M0</t>
  </si>
  <si>
    <t>Advantage Arts Academy</t>
  </si>
  <si>
    <t>2B</t>
  </si>
  <si>
    <t>2B0</t>
  </si>
  <si>
    <t>Lincoln Academy Incorporated</t>
  </si>
  <si>
    <t>2C</t>
  </si>
  <si>
    <t>2C0</t>
  </si>
  <si>
    <t>Intech Collegiate Academy</t>
  </si>
  <si>
    <t>2D</t>
  </si>
  <si>
    <t>2D0</t>
  </si>
  <si>
    <t>Channing Hall</t>
  </si>
  <si>
    <t>2E</t>
  </si>
  <si>
    <t>2E0</t>
  </si>
  <si>
    <t>Karl G. Maeser Preparatory Academy Foundation</t>
  </si>
  <si>
    <t>2F</t>
  </si>
  <si>
    <t>2F0</t>
  </si>
  <si>
    <t>Rockwell Charter High School</t>
  </si>
  <si>
    <t>2G</t>
  </si>
  <si>
    <t>2G0</t>
  </si>
  <si>
    <t>Vista At Entrada Inc</t>
  </si>
  <si>
    <t>2H</t>
  </si>
  <si>
    <t>2H0</t>
  </si>
  <si>
    <t>Utah Connections Academy</t>
  </si>
  <si>
    <t>2I</t>
  </si>
  <si>
    <t>2I0</t>
  </si>
  <si>
    <t>Esperanza Elementary (Generacion Floreciente)</t>
  </si>
  <si>
    <t>2J</t>
  </si>
  <si>
    <t>2J0</t>
  </si>
  <si>
    <t>Ascent Academies of Utah</t>
  </si>
  <si>
    <t>2K</t>
  </si>
  <si>
    <t>2K0</t>
  </si>
  <si>
    <t>Utah Military Academy</t>
  </si>
  <si>
    <t>2L</t>
  </si>
  <si>
    <t>2L0</t>
  </si>
  <si>
    <t>Center For Creativity Innovation And Dicovery</t>
  </si>
  <si>
    <t>3B</t>
  </si>
  <si>
    <t>3B0</t>
  </si>
  <si>
    <t>Beehive Science and Technology Academy</t>
  </si>
  <si>
    <t>3C</t>
  </si>
  <si>
    <t>3C0</t>
  </si>
  <si>
    <t>Entheos Academy</t>
  </si>
  <si>
    <t>3D</t>
  </si>
  <si>
    <t>3D0</t>
  </si>
  <si>
    <t>Spectrum Academy</t>
  </si>
  <si>
    <t>3E</t>
  </si>
  <si>
    <t>3E0</t>
  </si>
  <si>
    <t>C.S. Lewis Academy</t>
  </si>
  <si>
    <t>3F</t>
  </si>
  <si>
    <t>3F0</t>
  </si>
  <si>
    <t>Venture Academy</t>
  </si>
  <si>
    <t>3G</t>
  </si>
  <si>
    <t>3G0</t>
  </si>
  <si>
    <t>Bear River Charter School</t>
  </si>
  <si>
    <t>3H</t>
  </si>
  <si>
    <t>3H0</t>
  </si>
  <si>
    <t>Endeavor Hall</t>
  </si>
  <si>
    <t>3I</t>
  </si>
  <si>
    <t>3I0</t>
  </si>
  <si>
    <t>Leadership Learning Academy</t>
  </si>
  <si>
    <t>3J</t>
  </si>
  <si>
    <t>3J0</t>
  </si>
  <si>
    <t>Dixie Montessori Academy</t>
  </si>
  <si>
    <t>3K</t>
  </si>
  <si>
    <t>3K0</t>
  </si>
  <si>
    <t>Roots Charter High School</t>
  </si>
  <si>
    <t>3L</t>
  </si>
  <si>
    <t>3L0</t>
  </si>
  <si>
    <t>Leadership Academy of Utah</t>
  </si>
  <si>
    <t>3M</t>
  </si>
  <si>
    <t>3M0</t>
  </si>
  <si>
    <t>Bridge Elementary</t>
  </si>
  <si>
    <t>4B</t>
  </si>
  <si>
    <t>4B0</t>
  </si>
  <si>
    <t>Wasatch Peak Academy</t>
  </si>
  <si>
    <t>4C</t>
  </si>
  <si>
    <t>4C0</t>
  </si>
  <si>
    <t>Lakeview Academy</t>
  </si>
  <si>
    <t>4D</t>
  </si>
  <si>
    <t>4D0</t>
  </si>
  <si>
    <t>Syracuse Arts Academy Inc</t>
  </si>
  <si>
    <t>4E</t>
  </si>
  <si>
    <t>4E0</t>
  </si>
  <si>
    <t>Dual Immersion Academy</t>
  </si>
  <si>
    <t>4F</t>
  </si>
  <si>
    <t>4F0</t>
  </si>
  <si>
    <t>SL Center For Science Education</t>
  </si>
  <si>
    <t>4G</t>
  </si>
  <si>
    <t>4G0</t>
  </si>
  <si>
    <t>Maria Montessori Academy</t>
  </si>
  <si>
    <t>4I</t>
  </si>
  <si>
    <t>4I0</t>
  </si>
  <si>
    <t>Mana Academy (Salt Lake Charter School)</t>
  </si>
  <si>
    <t>4K</t>
  </si>
  <si>
    <t>4K0</t>
  </si>
  <si>
    <t>Athenian eAcademy</t>
  </si>
  <si>
    <t>4M</t>
  </si>
  <si>
    <t>4M0</t>
  </si>
  <si>
    <t>Mountain Sunrise Academy</t>
  </si>
  <si>
    <t>5B</t>
  </si>
  <si>
    <t>5B0</t>
  </si>
  <si>
    <t>North Star Academy</t>
  </si>
  <si>
    <t>5C</t>
  </si>
  <si>
    <t>5C0</t>
  </si>
  <si>
    <t>Legacy Preparatory Academy</t>
  </si>
  <si>
    <t>5D</t>
  </si>
  <si>
    <t>5D0</t>
  </si>
  <si>
    <t>George Washington Academy</t>
  </si>
  <si>
    <t>5E</t>
  </si>
  <si>
    <t>5E0</t>
  </si>
  <si>
    <t>USU Edith Bowen Lab School</t>
  </si>
  <si>
    <t>5F</t>
  </si>
  <si>
    <t>5F0</t>
  </si>
  <si>
    <t>Utah Virtual Academy</t>
  </si>
  <si>
    <t>5G</t>
  </si>
  <si>
    <t>5G0</t>
  </si>
  <si>
    <t>Canyon Grove (Quail Run Primary School Foundation)</t>
  </si>
  <si>
    <t>5H</t>
  </si>
  <si>
    <t>5H0</t>
  </si>
  <si>
    <t>Highmark Charter School</t>
  </si>
  <si>
    <t>5I</t>
  </si>
  <si>
    <t>5I0</t>
  </si>
  <si>
    <t>Voyage Academy</t>
  </si>
  <si>
    <t>5J</t>
  </si>
  <si>
    <t>5J0</t>
  </si>
  <si>
    <t>Mountain West Montessori Academy</t>
  </si>
  <si>
    <t>5K</t>
  </si>
  <si>
    <t>5K0</t>
  </si>
  <si>
    <t>Wasatch Waldorf Charter School</t>
  </si>
  <si>
    <t>5L</t>
  </si>
  <si>
    <t>5L0</t>
  </si>
  <si>
    <t>Ignite Entrepreneurship Academy</t>
  </si>
  <si>
    <t>6D</t>
  </si>
  <si>
    <t>6D0</t>
  </si>
  <si>
    <t>Noah Webster Academy Inc</t>
  </si>
  <si>
    <t>6F</t>
  </si>
  <si>
    <t>6F0</t>
  </si>
  <si>
    <t>Early Light Academy</t>
  </si>
  <si>
    <t>6G</t>
  </si>
  <si>
    <t>6G0</t>
  </si>
  <si>
    <t>Weilenmann School of Discovery, Inc</t>
  </si>
  <si>
    <t>6H</t>
  </si>
  <si>
    <t>6H0</t>
  </si>
  <si>
    <t>Promontory School of Expeditionary Learning</t>
  </si>
  <si>
    <t>6J</t>
  </si>
  <si>
    <t>6J0</t>
  </si>
  <si>
    <t>Scholar Academy</t>
  </si>
  <si>
    <t>6K</t>
  </si>
  <si>
    <t>6K0</t>
  </si>
  <si>
    <t>Franklin Discovery Academy Vineyard</t>
  </si>
  <si>
    <t>6L</t>
  </si>
  <si>
    <t>6L0</t>
  </si>
  <si>
    <t>Bonneville Academy</t>
  </si>
  <si>
    <t>7B</t>
  </si>
  <si>
    <t>7B0</t>
  </si>
  <si>
    <t>Ronald Wilson Reagan Academy</t>
  </si>
  <si>
    <t>7C</t>
  </si>
  <si>
    <t>7C0</t>
  </si>
  <si>
    <t>Monticello Academy Inc</t>
  </si>
  <si>
    <t>7D</t>
  </si>
  <si>
    <t>7D0</t>
  </si>
  <si>
    <t>Salt Lake School For Performing Arts</t>
  </si>
  <si>
    <t>7E</t>
  </si>
  <si>
    <t>7E0</t>
  </si>
  <si>
    <t>Gateway Preparatory Academy</t>
  </si>
  <si>
    <t>7F</t>
  </si>
  <si>
    <t>7F0</t>
  </si>
  <si>
    <t>Excelsior Academy</t>
  </si>
  <si>
    <t>7G</t>
  </si>
  <si>
    <t>7G0</t>
  </si>
  <si>
    <t>Summit Academy High School</t>
  </si>
  <si>
    <t>7H</t>
  </si>
  <si>
    <t>7H0</t>
  </si>
  <si>
    <t>Pacific Heritage Academy</t>
  </si>
  <si>
    <t>7I</t>
  </si>
  <si>
    <t>7I0</t>
  </si>
  <si>
    <t>Weber State University Charter Academy</t>
  </si>
  <si>
    <t>7J</t>
  </si>
  <si>
    <t>7J0</t>
  </si>
  <si>
    <t>Greenwood Charter School</t>
  </si>
  <si>
    <t>7K</t>
  </si>
  <si>
    <t>7K0</t>
  </si>
  <si>
    <t>Wallace Stegner Academy</t>
  </si>
  <si>
    <t>7L</t>
  </si>
  <si>
    <t>7L0</t>
  </si>
  <si>
    <t>Treeside Charter School</t>
  </si>
  <si>
    <t>7M</t>
  </si>
  <si>
    <t>7M0</t>
  </si>
  <si>
    <t>Career Academy of Utah</t>
  </si>
  <si>
    <t>8B</t>
  </si>
  <si>
    <t>8B0</t>
  </si>
  <si>
    <t>American Leadership Academy</t>
  </si>
  <si>
    <t>8C</t>
  </si>
  <si>
    <t>8C0</t>
  </si>
  <si>
    <t>Mountainville Academy</t>
  </si>
  <si>
    <t>8D</t>
  </si>
  <si>
    <t>8D0</t>
  </si>
  <si>
    <t>Open Classroom Charter School</t>
  </si>
  <si>
    <t>8E</t>
  </si>
  <si>
    <t>8E0</t>
  </si>
  <si>
    <t>Merit Preparatory Academy</t>
  </si>
  <si>
    <t>8F</t>
  </si>
  <si>
    <t>8F0</t>
  </si>
  <si>
    <t>Hawthorn Academy</t>
  </si>
  <si>
    <t>8G</t>
  </si>
  <si>
    <t>8G0</t>
  </si>
  <si>
    <t>Good Foundations Academy Charter School</t>
  </si>
  <si>
    <t>8H</t>
  </si>
  <si>
    <t>8H0</t>
  </si>
  <si>
    <t>Valley Arts Academy, Inc</t>
  </si>
  <si>
    <t>8I</t>
  </si>
  <si>
    <t>8I0</t>
  </si>
  <si>
    <t>The Winter Sports School In Park City</t>
  </si>
  <si>
    <t>8J</t>
  </si>
  <si>
    <t>8J0</t>
  </si>
  <si>
    <t>Terra Academy</t>
  </si>
  <si>
    <t>8K</t>
  </si>
  <si>
    <t>8K0</t>
  </si>
  <si>
    <t>American Academy of Innovation</t>
  </si>
  <si>
    <t>8L</t>
  </si>
  <si>
    <t>8L0</t>
  </si>
  <si>
    <t>Real Salt Lake Academy High School</t>
  </si>
  <si>
    <t>8M</t>
  </si>
  <si>
    <t>8M0</t>
  </si>
  <si>
    <t>Elevated Charter School</t>
  </si>
  <si>
    <t>9B</t>
  </si>
  <si>
    <t>9B0</t>
  </si>
  <si>
    <t>Navigator Pointe Academy</t>
  </si>
  <si>
    <t>9C</t>
  </si>
  <si>
    <t>9C0</t>
  </si>
  <si>
    <t>Paradigm High School</t>
  </si>
  <si>
    <t>9D</t>
  </si>
  <si>
    <t>9D0</t>
  </si>
  <si>
    <t>Canyon Rim Academy</t>
  </si>
  <si>
    <t>9E</t>
  </si>
  <si>
    <t>9E0</t>
  </si>
  <si>
    <t>Providence Hall</t>
  </si>
  <si>
    <t>9F</t>
  </si>
  <si>
    <t>9F0</t>
  </si>
  <si>
    <t>Mountain Heights Academy</t>
  </si>
  <si>
    <t>9I</t>
  </si>
  <si>
    <t>9I0</t>
  </si>
  <si>
    <t>Utah Career Path High</t>
  </si>
  <si>
    <t>9J</t>
  </si>
  <si>
    <t>9J0</t>
  </si>
  <si>
    <t>Lumen Scholar Institute</t>
  </si>
  <si>
    <t>9K</t>
  </si>
  <si>
    <t>9K0</t>
  </si>
  <si>
    <t>St George Academy</t>
  </si>
  <si>
    <t>9M</t>
  </si>
  <si>
    <t>9M0</t>
  </si>
  <si>
    <t>American Principles Academy</t>
  </si>
  <si>
    <t>A1</t>
  </si>
  <si>
    <t>A10</t>
  </si>
  <si>
    <t>Northern Utah Academy For Math Engineering and Science</t>
  </si>
  <si>
    <t>A2</t>
  </si>
  <si>
    <t>A20</t>
  </si>
  <si>
    <t>The Ranches Academy Inc</t>
  </si>
  <si>
    <t>A3</t>
  </si>
  <si>
    <t>A30</t>
  </si>
  <si>
    <t>Davinci Academy of Science and The Arts</t>
  </si>
  <si>
    <t>A4</t>
  </si>
  <si>
    <t>A40</t>
  </si>
  <si>
    <t>Summit Academy Incorporated</t>
  </si>
  <si>
    <t>A5</t>
  </si>
  <si>
    <t>A50</t>
  </si>
  <si>
    <t>Itineris Early College High School</t>
  </si>
  <si>
    <t>A6</t>
  </si>
  <si>
    <t>A60</t>
  </si>
  <si>
    <t>North Davis Preparatory Academy</t>
  </si>
  <si>
    <t>A7</t>
  </si>
  <si>
    <t>A70</t>
  </si>
  <si>
    <t>Moab Charter School</t>
  </si>
  <si>
    <t>A8</t>
  </si>
  <si>
    <t>A80</t>
  </si>
  <si>
    <t>East Hollywood High School Inc</t>
  </si>
  <si>
    <t>A9</t>
  </si>
  <si>
    <t>A90</t>
  </si>
  <si>
    <t>Success Academy</t>
  </si>
  <si>
    <t xml:space="preserve"> FY 2024 Final</t>
  </si>
  <si>
    <t>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</si>
</sst>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_);[Red]\(#,##0.000000\)"/>
    <numFmt numFmtId="165" formatCode="_(* #,##0_);_(* \(#,##0\);_(* &quot;-&quot;??_);_(@_)"/>
    <numFmt numFmtId="166" formatCode="General_)"/>
    <numFmt numFmtId="167" formatCode="#,##0.000000_______)"/>
    <numFmt numFmtId="168" formatCode="#,##0.000000____"/>
    <numFmt numFmtId="169" formatCode="#,##0.000000_____)"/>
    <numFmt numFmtId="170" formatCode="0.000000_)"/>
    <numFmt numFmtId="171" formatCode=";;;"/>
    <numFmt numFmtId="172" formatCode="0.000000"/>
    <numFmt numFmtId="173" formatCode="#,##0.000000"/>
    <numFmt numFmtId="174" formatCode="0.000000_);[Red]\(0.000000\)"/>
    <numFmt numFmtId="176" formatCode="0.0%"/>
    <numFmt numFmtId="177" formatCode="#,##0\ ;\(#,##0\)"/>
    <numFmt numFmtId="178" formatCode="_(&quot;$&quot;* #,##0_);_(&quot;$&quot;* \(#,##0\);_(&quot;$&quot;* &quot;-&quot;??_);_(@_)"/>
    <numFmt numFmtId="180" formatCode="#,##0.000_);\(#,##0.000\)"/>
    <numFmt numFmtId="183" formatCode="_(* #,##0.00000_);_(* \(#,##0.00000\);_(* &quot;-&quot;??_);_(@_)"/>
    <numFmt numFmtId="184" formatCode="_(* #,##0.000000_);_(* \(#,##0.000000\);_(* &quot;-&quot;??_);_(@_)"/>
    <numFmt numFmtId="185" formatCode="_(* #,##0.0_);_(* \(#,##0.0\);_(* &quot;-&quot;??_);_(@_)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name val="Courier"/>
      <family val="3"/>
    </font>
    <font>
      <sz val="10"/>
      <name val="MS Sans Serif"/>
      <family val="2"/>
    </font>
    <font>
      <sz val="9"/>
      <name val="Helv"/>
    </font>
    <font>
      <u/>
      <sz val="10"/>
      <name val="Arial"/>
      <family val="2"/>
    </font>
    <font>
      <sz val="10"/>
      <name val="Prestige Elite"/>
    </font>
    <font>
      <sz val="10"/>
      <color indexed="10"/>
      <name val="Arial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ourier"/>
    </font>
    <font>
      <b/>
      <sz val="12"/>
      <name val="Arial"/>
      <family val="2"/>
    </font>
    <font>
      <sz val="14"/>
      <color theme="1"/>
      <name val="Arial"/>
      <family val="2"/>
    </font>
    <font>
      <b/>
      <sz val="14"/>
      <color rgb="FF0070C0"/>
      <name val="Arial"/>
      <family val="2"/>
    </font>
    <font>
      <sz val="14"/>
      <name val="Arial"/>
      <family val="2"/>
    </font>
    <font>
      <sz val="14"/>
      <color rgb="FF0070C0"/>
      <name val="Arial"/>
      <family val="2"/>
    </font>
    <font>
      <sz val="14"/>
      <color rgb="FFFF000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8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12" applyNumberFormat="0" applyAlignment="0" applyProtection="0"/>
    <xf numFmtId="0" fontId="22" fillId="29" borderId="13" applyNumberFormat="0" applyAlignment="0" applyProtection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2" fillId="0" borderId="0" applyFill="0" applyBorder="0" applyAlignment="0"/>
    <xf numFmtId="6" fontId="11" fillId="0" borderId="0" applyFont="0" applyFill="0" applyBorder="0" applyAlignment="0" applyProtection="0"/>
    <xf numFmtId="42" fontId="8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8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8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0" borderId="0" applyNumberFormat="0" applyBorder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8" fillId="31" borderId="12" applyNumberFormat="0" applyAlignment="0" applyProtection="0"/>
    <xf numFmtId="0" fontId="29" fillId="0" borderId="17" applyNumberFormat="0" applyFill="0" applyAlignment="0" applyProtection="0"/>
    <xf numFmtId="0" fontId="30" fillId="32" borderId="0" applyNumberFormat="0" applyBorder="0" applyAlignment="0" applyProtection="0"/>
    <xf numFmtId="166" fontId="10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14" fillId="0" borderId="0"/>
    <xf numFmtId="0" fontId="8" fillId="0" borderId="0"/>
    <xf numFmtId="0" fontId="8" fillId="0" borderId="0"/>
    <xf numFmtId="166" fontId="10" fillId="0" borderId="0"/>
    <xf numFmtId="166" fontId="10" fillId="0" borderId="0"/>
    <xf numFmtId="0" fontId="17" fillId="33" borderId="18" applyNumberFormat="0" applyFont="0" applyAlignment="0" applyProtection="0"/>
    <xf numFmtId="0" fontId="31" fillId="28" borderId="19" applyNumberFormat="0" applyAlignment="0" applyProtection="0"/>
    <xf numFmtId="9" fontId="1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34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35" fillId="0" borderId="0"/>
    <xf numFmtId="9" fontId="35" fillId="0" borderId="0" applyFon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</cellStyleXfs>
  <cellXfs count="182">
    <xf numFmtId="0" fontId="0" fillId="0" borderId="0" xfId="0"/>
    <xf numFmtId="0" fontId="5" fillId="0" borderId="0" xfId="0" applyFont="1" applyAlignment="1">
      <alignment horizontal="centerContinuous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centerContinuous"/>
    </xf>
    <xf numFmtId="166" fontId="16" fillId="2" borderId="0" xfId="92" applyFont="1" applyFill="1" applyAlignment="1">
      <alignment horizontal="center"/>
    </xf>
    <xf numFmtId="39" fontId="8" fillId="0" borderId="0" xfId="0" applyNumberFormat="1" applyFont="1"/>
    <xf numFmtId="38" fontId="8" fillId="0" borderId="0" xfId="0" applyNumberFormat="1" applyFont="1"/>
    <xf numFmtId="38" fontId="8" fillId="0" borderId="2" xfId="0" applyNumberFormat="1" applyFont="1" applyBorder="1"/>
    <xf numFmtId="40" fontId="8" fillId="0" borderId="2" xfId="0" applyNumberFormat="1" applyFont="1" applyBorder="1"/>
    <xf numFmtId="14" fontId="8" fillId="0" borderId="0" xfId="0" applyNumberFormat="1" applyFont="1"/>
    <xf numFmtId="0" fontId="5" fillId="0" borderId="1" xfId="0" applyFont="1" applyBorder="1"/>
    <xf numFmtId="0" fontId="8" fillId="0" borderId="1" xfId="0" applyFont="1" applyBorder="1"/>
    <xf numFmtId="0" fontId="13" fillId="0" borderId="0" xfId="0" applyFont="1"/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38" fontId="8" fillId="0" borderId="10" xfId="0" applyNumberFormat="1" applyFont="1" applyBorder="1"/>
    <xf numFmtId="17" fontId="8" fillId="0" borderId="2" xfId="0" applyNumberFormat="1" applyFont="1" applyBorder="1" applyAlignment="1">
      <alignment horizontal="center"/>
    </xf>
    <xf numFmtId="40" fontId="8" fillId="0" borderId="9" xfId="0" applyNumberFormat="1" applyFont="1" applyBorder="1"/>
    <xf numFmtId="0" fontId="36" fillId="0" borderId="0" xfId="0" applyFont="1"/>
    <xf numFmtId="0" fontId="7" fillId="0" borderId="0" xfId="88" applyAlignment="1" applyProtection="1"/>
    <xf numFmtId="39" fontId="15" fillId="0" borderId="0" xfId="0" applyNumberFormat="1" applyFont="1"/>
    <xf numFmtId="9" fontId="15" fillId="0" borderId="0" xfId="125" applyFont="1"/>
    <xf numFmtId="9" fontId="15" fillId="0" borderId="0" xfId="125" applyFont="1" applyFill="1"/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right"/>
    </xf>
    <xf numFmtId="0" fontId="37" fillId="0" borderId="0" xfId="133" applyFont="1"/>
    <xf numFmtId="0" fontId="37" fillId="0" borderId="0" xfId="133" applyFont="1" applyAlignment="1">
      <alignment horizontal="left"/>
    </xf>
    <xf numFmtId="0" fontId="37" fillId="0" borderId="0" xfId="133" applyFont="1" applyAlignment="1">
      <alignment vertical="top" wrapText="1"/>
    </xf>
    <xf numFmtId="0" fontId="38" fillId="0" borderId="0" xfId="133" applyFont="1"/>
    <xf numFmtId="38" fontId="39" fillId="0" borderId="0" xfId="133" applyNumberFormat="1" applyFont="1"/>
    <xf numFmtId="38" fontId="38" fillId="0" borderId="0" xfId="133" applyNumberFormat="1" applyFont="1"/>
    <xf numFmtId="40" fontId="40" fillId="0" borderId="0" xfId="133" applyNumberFormat="1" applyFont="1"/>
    <xf numFmtId="0" fontId="37" fillId="0" borderId="0" xfId="133" applyFont="1" applyAlignment="1">
      <alignment wrapText="1"/>
    </xf>
    <xf numFmtId="0" fontId="41" fillId="0" borderId="0" xfId="133" applyFont="1" applyAlignment="1">
      <alignment wrapText="1"/>
    </xf>
    <xf numFmtId="164" fontId="39" fillId="0" borderId="0" xfId="133" applyNumberFormat="1" applyFont="1" applyAlignment="1">
      <alignment wrapText="1"/>
    </xf>
    <xf numFmtId="38" fontId="39" fillId="0" borderId="0" xfId="133" applyNumberFormat="1" applyFont="1" applyAlignment="1">
      <alignment wrapText="1"/>
    </xf>
    <xf numFmtId="0" fontId="37" fillId="0" borderId="0" xfId="133" applyFont="1" applyAlignment="1">
      <alignment horizontal="left" wrapText="1"/>
    </xf>
    <xf numFmtId="0" fontId="37" fillId="0" borderId="0" xfId="133" applyFont="1" applyAlignment="1">
      <alignment vertical="top"/>
    </xf>
    <xf numFmtId="44" fontId="39" fillId="0" borderId="0" xfId="134" applyFont="1" applyAlignment="1">
      <alignment vertical="top"/>
    </xf>
    <xf numFmtId="0" fontId="37" fillId="0" borderId="0" xfId="133" applyFont="1" applyAlignment="1">
      <alignment horizontal="left" vertical="top"/>
    </xf>
    <xf numFmtId="40" fontId="42" fillId="0" borderId="0" xfId="133" applyNumberFormat="1" applyFont="1"/>
    <xf numFmtId="8" fontId="42" fillId="0" borderId="0" xfId="133" applyNumberFormat="1" applyFont="1"/>
    <xf numFmtId="43" fontId="42" fillId="0" borderId="0" xfId="135" applyFont="1" applyFill="1"/>
    <xf numFmtId="38" fontId="42" fillId="0" borderId="0" xfId="133" applyNumberFormat="1" applyFont="1"/>
    <xf numFmtId="177" fontId="42" fillId="0" borderId="0" xfId="98" applyNumberFormat="1" applyFont="1"/>
    <xf numFmtId="0" fontId="42" fillId="0" borderId="0" xfId="133" applyFont="1"/>
    <xf numFmtId="0" fontId="42" fillId="0" borderId="0" xfId="133" applyFont="1" applyAlignment="1">
      <alignment horizontal="left"/>
    </xf>
    <xf numFmtId="165" fontId="43" fillId="0" borderId="0" xfId="135" applyNumberFormat="1" applyFont="1"/>
    <xf numFmtId="165" fontId="38" fillId="0" borderId="0" xfId="135" applyNumberFormat="1" applyFont="1"/>
    <xf numFmtId="165" fontId="43" fillId="0" borderId="0" xfId="135" applyNumberFormat="1" applyFont="1" applyBorder="1"/>
    <xf numFmtId="165" fontId="42" fillId="0" borderId="0" xfId="135" applyNumberFormat="1" applyFont="1" applyBorder="1"/>
    <xf numFmtId="165" fontId="42" fillId="0" borderId="0" xfId="135" applyNumberFormat="1" applyFont="1" applyBorder="1" applyAlignment="1">
      <alignment horizontal="left"/>
    </xf>
    <xf numFmtId="180" fontId="39" fillId="0" borderId="2" xfId="136" applyNumberFormat="1" applyFont="1" applyBorder="1"/>
    <xf numFmtId="0" fontId="42" fillId="0" borderId="2" xfId="133" applyFont="1" applyBorder="1" applyAlignment="1">
      <alignment horizontal="left"/>
    </xf>
    <xf numFmtId="0" fontId="39" fillId="0" borderId="2" xfId="133" applyFont="1" applyBorder="1" applyAlignment="1">
      <alignment horizontal="left"/>
    </xf>
    <xf numFmtId="0" fontId="39" fillId="0" borderId="3" xfId="133" applyFont="1" applyBorder="1" applyAlignment="1">
      <alignment horizontal="left"/>
    </xf>
    <xf numFmtId="180" fontId="39" fillId="0" borderId="0" xfId="136" applyNumberFormat="1" applyFont="1"/>
    <xf numFmtId="0" fontId="39" fillId="0" borderId="0" xfId="133" applyFont="1" applyAlignment="1">
      <alignment horizontal="left"/>
    </xf>
    <xf numFmtId="0" fontId="39" fillId="0" borderId="4" xfId="133" applyFont="1" applyBorder="1" applyAlignment="1">
      <alignment horizontal="left"/>
    </xf>
    <xf numFmtId="0" fontId="42" fillId="0" borderId="0" xfId="133" applyFont="1" applyAlignment="1">
      <alignment horizontal="center"/>
    </xf>
    <xf numFmtId="0" fontId="42" fillId="0" borderId="8" xfId="133" applyFont="1" applyBorder="1" applyAlignment="1">
      <alignment horizontal="center"/>
    </xf>
    <xf numFmtId="0" fontId="42" fillId="0" borderId="2" xfId="133" applyFont="1" applyBorder="1" applyAlignment="1">
      <alignment horizontal="center"/>
    </xf>
    <xf numFmtId="0" fontId="42" fillId="0" borderId="3" xfId="133" applyFont="1" applyBorder="1" applyAlignment="1">
      <alignment horizontal="center"/>
    </xf>
    <xf numFmtId="0" fontId="42" fillId="0" borderId="2" xfId="133" applyFont="1" applyBorder="1" applyAlignment="1">
      <alignment horizontal="left" wrapText="1"/>
    </xf>
    <xf numFmtId="0" fontId="39" fillId="0" borderId="2" xfId="133" applyFont="1" applyBorder="1" applyAlignment="1">
      <alignment horizontal="left" wrapText="1"/>
    </xf>
    <xf numFmtId="0" fontId="42" fillId="0" borderId="3" xfId="133" applyFont="1" applyBorder="1" applyAlignment="1">
      <alignment horizontal="left" wrapText="1"/>
    </xf>
    <xf numFmtId="0" fontId="42" fillId="0" borderId="11" xfId="133" applyFont="1" applyBorder="1" applyAlignment="1">
      <alignment horizontal="center"/>
    </xf>
    <xf numFmtId="0" fontId="42" fillId="0" borderId="7" xfId="133" applyFont="1" applyBorder="1" applyAlignment="1">
      <alignment horizontal="center"/>
    </xf>
    <xf numFmtId="0" fontId="42" fillId="0" borderId="6" xfId="133" applyFont="1" applyBorder="1" applyAlignment="1">
      <alignment horizontal="center"/>
    </xf>
    <xf numFmtId="0" fontId="42" fillId="0" borderId="7" xfId="133" applyFont="1" applyBorder="1" applyAlignment="1">
      <alignment horizontal="left"/>
    </xf>
    <xf numFmtId="0" fontId="42" fillId="0" borderId="6" xfId="133" applyFont="1" applyBorder="1" applyAlignment="1">
      <alignment horizontal="left"/>
    </xf>
    <xf numFmtId="166" fontId="44" fillId="0" borderId="0" xfId="126" applyFont="1"/>
    <xf numFmtId="166" fontId="45" fillId="0" borderId="0" xfId="126" applyFont="1" applyAlignment="1">
      <alignment horizontal="center"/>
    </xf>
    <xf numFmtId="166" fontId="44" fillId="0" borderId="0" xfId="126" applyFont="1" applyAlignment="1">
      <alignment horizontal="centerContinuous"/>
    </xf>
    <xf numFmtId="166" fontId="46" fillId="0" borderId="0" xfId="126" applyFont="1"/>
    <xf numFmtId="166" fontId="47" fillId="0" borderId="22" xfId="126" applyFont="1" applyBorder="1"/>
    <xf numFmtId="166" fontId="47" fillId="0" borderId="22" xfId="126" applyFont="1" applyBorder="1" applyAlignment="1">
      <alignment horizontal="centerContinuous"/>
    </xf>
    <xf numFmtId="166" fontId="46" fillId="0" borderId="22" xfId="126" applyFont="1" applyBorder="1"/>
    <xf numFmtId="172" fontId="47" fillId="0" borderId="22" xfId="126" applyNumberFormat="1" applyFont="1" applyBorder="1" applyAlignment="1">
      <alignment horizontal="center"/>
    </xf>
    <xf numFmtId="166" fontId="47" fillId="0" borderId="22" xfId="126" applyFont="1" applyBorder="1" applyAlignment="1">
      <alignment horizontal="center"/>
    </xf>
    <xf numFmtId="166" fontId="34" fillId="0" borderId="0" xfId="126" applyFont="1"/>
    <xf numFmtId="40" fontId="47" fillId="0" borderId="22" xfId="29" applyFont="1" applyFill="1" applyBorder="1" applyAlignment="1" applyProtection="1">
      <alignment horizontal="centerContinuous"/>
    </xf>
    <xf numFmtId="1" fontId="47" fillId="0" borderId="22" xfId="126" applyNumberFormat="1" applyFont="1" applyBorder="1" applyAlignment="1">
      <alignment horizontal="center"/>
    </xf>
    <xf numFmtId="166" fontId="34" fillId="0" borderId="0" xfId="126" applyFont="1" applyAlignment="1">
      <alignment horizontal="fill"/>
    </xf>
    <xf numFmtId="166" fontId="48" fillId="0" borderId="0" xfId="126" applyFont="1" applyAlignment="1">
      <alignment horizontal="center"/>
    </xf>
    <xf numFmtId="166" fontId="47" fillId="0" borderId="0" xfId="126" applyFont="1"/>
    <xf numFmtId="166" fontId="48" fillId="0" borderId="0" xfId="126" applyFont="1"/>
    <xf numFmtId="166" fontId="47" fillId="0" borderId="22" xfId="126" quotePrefix="1" applyFont="1" applyBorder="1" applyAlignment="1">
      <alignment horizontal="center"/>
    </xf>
    <xf numFmtId="174" fontId="47" fillId="0" borderId="22" xfId="126" applyNumberFormat="1" applyFont="1" applyBorder="1" applyAlignment="1">
      <alignment horizontal="center"/>
    </xf>
    <xf numFmtId="15" fontId="47" fillId="0" borderId="22" xfId="126" quotePrefix="1" applyNumberFormat="1" applyFont="1" applyBorder="1" applyAlignment="1">
      <alignment horizontal="centerContinuous"/>
    </xf>
    <xf numFmtId="166" fontId="47" fillId="0" borderId="21" xfId="126" applyFont="1" applyBorder="1" applyAlignment="1">
      <alignment horizontal="center"/>
    </xf>
    <xf numFmtId="166" fontId="47" fillId="0" borderId="22" xfId="126" applyFont="1" applyBorder="1" applyAlignment="1">
      <alignment horizontal="left"/>
    </xf>
    <xf numFmtId="42" fontId="46" fillId="0" borderId="22" xfId="38" applyNumberFormat="1" applyFont="1" applyFill="1" applyBorder="1"/>
    <xf numFmtId="167" fontId="46" fillId="0" borderId="22" xfId="126" applyNumberFormat="1" applyFont="1" applyBorder="1" applyAlignment="1">
      <alignment horizontal="center"/>
    </xf>
    <xf numFmtId="168" fontId="47" fillId="0" borderId="22" xfId="126" applyNumberFormat="1" applyFont="1" applyBorder="1"/>
    <xf numFmtId="38" fontId="34" fillId="0" borderId="0" xfId="38" applyFont="1" applyFill="1" applyBorder="1"/>
    <xf numFmtId="164" fontId="34" fillId="0" borderId="0" xfId="38" applyNumberFormat="1" applyFont="1" applyFill="1" applyBorder="1"/>
    <xf numFmtId="176" fontId="34" fillId="0" borderId="0" xfId="126" applyNumberFormat="1" applyFont="1"/>
    <xf numFmtId="38" fontId="34" fillId="0" borderId="0" xfId="28" applyFont="1" applyFill="1" applyBorder="1" applyProtection="1"/>
    <xf numFmtId="38" fontId="34" fillId="0" borderId="0" xfId="28" applyFont="1" applyFill="1" applyBorder="1"/>
    <xf numFmtId="38" fontId="34" fillId="0" borderId="0" xfId="28" applyFont="1" applyFill="1" applyBorder="1" applyAlignment="1" applyProtection="1"/>
    <xf numFmtId="166" fontId="46" fillId="0" borderId="21" xfId="126" applyFont="1" applyBorder="1"/>
    <xf numFmtId="6" fontId="47" fillId="0" borderId="22" xfId="41" applyNumberFormat="1" applyFont="1" applyFill="1" applyBorder="1" applyAlignment="1" applyProtection="1">
      <alignment horizontal="right"/>
    </xf>
    <xf numFmtId="168" fontId="48" fillId="0" borderId="22" xfId="126" applyNumberFormat="1" applyFont="1" applyBorder="1"/>
    <xf numFmtId="38" fontId="34" fillId="0" borderId="0" xfId="38" applyFont="1" applyFill="1" applyBorder="1" applyAlignment="1">
      <alignment horizontal="center"/>
    </xf>
    <xf numFmtId="38" fontId="34" fillId="0" borderId="0" xfId="38" applyFont="1" applyFill="1" applyBorder="1" applyAlignment="1"/>
    <xf numFmtId="166" fontId="47" fillId="0" borderId="21" xfId="126" applyFont="1" applyBorder="1"/>
    <xf numFmtId="38" fontId="48" fillId="0" borderId="22" xfId="38" applyFont="1" applyFill="1" applyBorder="1"/>
    <xf numFmtId="167" fontId="47" fillId="0" borderId="22" xfId="126" applyNumberFormat="1" applyFont="1" applyBorder="1"/>
    <xf numFmtId="164" fontId="48" fillId="0" borderId="0" xfId="38" applyNumberFormat="1" applyFont="1" applyFill="1" applyBorder="1"/>
    <xf numFmtId="166" fontId="46" fillId="0" borderId="0" xfId="126" applyFont="1" applyAlignment="1">
      <alignment horizontal="left"/>
    </xf>
    <xf numFmtId="167" fontId="34" fillId="0" borderId="0" xfId="126" applyNumberFormat="1" applyFont="1"/>
    <xf numFmtId="169" fontId="34" fillId="0" borderId="0" xfId="126" applyNumberFormat="1" applyFont="1"/>
    <xf numFmtId="168" fontId="34" fillId="0" borderId="0" xfId="126" applyNumberFormat="1" applyFont="1"/>
    <xf numFmtId="166" fontId="34" fillId="0" borderId="0" xfId="126" applyFont="1" applyAlignment="1">
      <alignment horizontal="left"/>
    </xf>
    <xf numFmtId="173" fontId="34" fillId="0" borderId="0" xfId="126" applyNumberFormat="1" applyFont="1"/>
    <xf numFmtId="166" fontId="46" fillId="0" borderId="0" xfId="126" quotePrefix="1" applyFont="1"/>
    <xf numFmtId="170" fontId="34" fillId="0" borderId="0" xfId="126" applyNumberFormat="1" applyFont="1"/>
    <xf numFmtId="166" fontId="34" fillId="0" borderId="0" xfId="126" quotePrefix="1" applyFont="1"/>
    <xf numFmtId="171" fontId="34" fillId="0" borderId="0" xfId="126" applyNumberFormat="1" applyFont="1"/>
    <xf numFmtId="166" fontId="46" fillId="0" borderId="0" xfId="126" quotePrefix="1" applyFont="1" applyAlignment="1">
      <alignment horizontal="left"/>
    </xf>
    <xf numFmtId="166" fontId="34" fillId="0" borderId="0" xfId="126" quotePrefix="1" applyFont="1" applyAlignment="1">
      <alignment horizontal="left"/>
    </xf>
    <xf numFmtId="184" fontId="39" fillId="0" borderId="0" xfId="132" applyNumberFormat="1" applyFont="1"/>
    <xf numFmtId="0" fontId="49" fillId="0" borderId="0" xfId="136" applyFont="1"/>
    <xf numFmtId="0" fontId="49" fillId="0" borderId="0" xfId="136" applyFont="1" applyAlignment="1">
      <alignment horizontal="center"/>
    </xf>
    <xf numFmtId="0" fontId="49" fillId="0" borderId="0" xfId="136" applyFont="1" applyAlignment="1">
      <alignment horizontal="center" wrapText="1"/>
    </xf>
    <xf numFmtId="0" fontId="49" fillId="0" borderId="0" xfId="136" applyFont="1" applyAlignment="1">
      <alignment wrapText="1"/>
    </xf>
    <xf numFmtId="185" fontId="49" fillId="0" borderId="0" xfId="135" applyNumberFormat="1" applyFont="1" applyAlignment="1">
      <alignment wrapText="1"/>
    </xf>
    <xf numFmtId="165" fontId="49" fillId="0" borderId="0" xfId="135" applyNumberFormat="1" applyFont="1" applyAlignment="1">
      <alignment wrapText="1"/>
    </xf>
    <xf numFmtId="183" fontId="49" fillId="0" borderId="0" xfId="135" applyNumberFormat="1" applyFont="1" applyFill="1" applyAlignment="1">
      <alignment wrapText="1"/>
    </xf>
    <xf numFmtId="185" fontId="49" fillId="0" borderId="0" xfId="135" applyNumberFormat="1" applyFont="1" applyFill="1" applyAlignment="1">
      <alignment wrapText="1"/>
    </xf>
    <xf numFmtId="165" fontId="50" fillId="0" borderId="0" xfId="135" applyNumberFormat="1" applyFont="1" applyFill="1" applyAlignment="1">
      <alignment wrapText="1"/>
    </xf>
    <xf numFmtId="185" fontId="50" fillId="0" borderId="0" xfId="135" applyNumberFormat="1" applyFont="1" applyFill="1" applyAlignment="1">
      <alignment wrapText="1"/>
    </xf>
    <xf numFmtId="165" fontId="49" fillId="0" borderId="0" xfId="136" applyNumberFormat="1" applyFont="1" applyAlignment="1">
      <alignment wrapText="1"/>
    </xf>
    <xf numFmtId="43" fontId="49" fillId="0" borderId="0" xfId="135" applyFont="1" applyAlignment="1">
      <alignment wrapText="1"/>
    </xf>
    <xf numFmtId="165" fontId="49" fillId="0" borderId="0" xfId="136" applyNumberFormat="1" applyFont="1"/>
    <xf numFmtId="185" fontId="49" fillId="0" borderId="0" xfId="136" applyNumberFormat="1" applyFont="1"/>
    <xf numFmtId="43" fontId="49" fillId="0" borderId="0" xfId="136" applyNumberFormat="1" applyFont="1"/>
    <xf numFmtId="0" fontId="51" fillId="0" borderId="0" xfId="136" applyFont="1" applyAlignment="1">
      <alignment horizontal="center" vertical="center" wrapText="1"/>
    </xf>
    <xf numFmtId="165" fontId="51" fillId="0" borderId="0" xfId="135" applyNumberFormat="1" applyFont="1" applyAlignment="1">
      <alignment horizontal="center" vertical="center" wrapText="1"/>
    </xf>
    <xf numFmtId="0" fontId="51" fillId="0" borderId="0" xfId="136" quotePrefix="1" applyFont="1" applyAlignment="1">
      <alignment horizontal="center" vertical="center" wrapText="1"/>
    </xf>
    <xf numFmtId="16" fontId="51" fillId="0" borderId="0" xfId="136" quotePrefix="1" applyNumberFormat="1" applyFont="1" applyAlignment="1">
      <alignment horizontal="center" vertical="center" wrapText="1"/>
    </xf>
    <xf numFmtId="0" fontId="52" fillId="0" borderId="0" xfId="136" applyFont="1"/>
    <xf numFmtId="0" fontId="39" fillId="0" borderId="4" xfId="133" applyFont="1" applyBorder="1" applyAlignment="1">
      <alignment horizontal="left" vertical="center" wrapText="1"/>
    </xf>
    <xf numFmtId="0" fontId="39" fillId="0" borderId="0" xfId="133" applyFont="1" applyAlignment="1">
      <alignment horizontal="left" vertical="center" wrapText="1"/>
    </xf>
    <xf numFmtId="0" fontId="42" fillId="0" borderId="4" xfId="133" applyFont="1" applyBorder="1" applyAlignment="1">
      <alignment horizontal="center" vertical="center" wrapText="1"/>
    </xf>
    <xf numFmtId="0" fontId="42" fillId="0" borderId="0" xfId="133" applyFont="1" applyAlignment="1">
      <alignment horizontal="center" vertical="center" wrapText="1"/>
    </xf>
    <xf numFmtId="9" fontId="42" fillId="0" borderId="5" xfId="133" applyNumberFormat="1" applyFont="1" applyBorder="1" applyAlignment="1">
      <alignment horizontal="center" vertical="center" wrapText="1"/>
    </xf>
    <xf numFmtId="0" fontId="39" fillId="0" borderId="0" xfId="133" applyFont="1" applyAlignment="1">
      <alignment horizontal="center" vertical="center" wrapText="1"/>
    </xf>
    <xf numFmtId="0" fontId="37" fillId="0" borderId="0" xfId="133" applyFont="1" applyAlignment="1">
      <alignment vertical="center"/>
    </xf>
    <xf numFmtId="184" fontId="39" fillId="0" borderId="2" xfId="132" applyNumberFormat="1" applyFont="1" applyBorder="1"/>
    <xf numFmtId="44" fontId="37" fillId="0" borderId="0" xfId="133" applyNumberFormat="1" applyFont="1"/>
    <xf numFmtId="9" fontId="37" fillId="0" borderId="0" xfId="125" applyFont="1"/>
    <xf numFmtId="0" fontId="5" fillId="0" borderId="0" xfId="0" applyFont="1" applyBorder="1" applyAlignment="1">
      <alignment horizontal="center"/>
    </xf>
    <xf numFmtId="0" fontId="8" fillId="0" borderId="22" xfId="0" applyFont="1" applyBorder="1"/>
    <xf numFmtId="39" fontId="8" fillId="0" borderId="22" xfId="0" applyNumberFormat="1" applyFont="1" applyBorder="1"/>
    <xf numFmtId="40" fontId="8" fillId="0" borderId="22" xfId="0" applyNumberFormat="1" applyFont="1" applyBorder="1"/>
    <xf numFmtId="178" fontId="39" fillId="0" borderId="4" xfId="98" applyNumberFormat="1" applyFont="1" applyBorder="1"/>
    <xf numFmtId="178" fontId="39" fillId="0" borderId="0" xfId="98" applyNumberFormat="1" applyFont="1"/>
    <xf numFmtId="178" fontId="39" fillId="0" borderId="0" xfId="133" applyNumberFormat="1" applyFont="1" applyAlignment="1">
      <alignment horizontal="right"/>
    </xf>
    <xf numFmtId="178" fontId="39" fillId="0" borderId="0" xfId="133" applyNumberFormat="1" applyFont="1"/>
    <xf numFmtId="178" fontId="39" fillId="0" borderId="0" xfId="137" applyNumberFormat="1" applyFont="1" applyFill="1" applyBorder="1"/>
    <xf numFmtId="178" fontId="39" fillId="0" borderId="0" xfId="124" applyNumberFormat="1" applyFont="1"/>
    <xf numFmtId="178" fontId="39" fillId="0" borderId="3" xfId="98" applyNumberFormat="1" applyFont="1" applyBorder="1"/>
    <xf numFmtId="178" fontId="39" fillId="0" borderId="2" xfId="98" applyNumberFormat="1" applyFont="1" applyBorder="1"/>
    <xf numFmtId="178" fontId="39" fillId="0" borderId="2" xfId="133" applyNumberFormat="1" applyFont="1" applyBorder="1" applyAlignment="1">
      <alignment horizontal="right"/>
    </xf>
    <xf numFmtId="178" fontId="39" fillId="0" borderId="2" xfId="133" applyNumberFormat="1" applyFont="1" applyBorder="1"/>
    <xf numFmtId="178" fontId="39" fillId="0" borderId="2" xfId="124" applyNumberFormat="1" applyFont="1" applyBorder="1"/>
    <xf numFmtId="178" fontId="42" fillId="0" borderId="0" xfId="124" applyNumberFormat="1" applyFont="1" applyBorder="1"/>
    <xf numFmtId="6" fontId="39" fillId="0" borderId="0" xfId="133" applyNumberFormat="1" applyFont="1"/>
    <xf numFmtId="6" fontId="39" fillId="0" borderId="2" xfId="133" applyNumberFormat="1" applyFont="1" applyBorder="1"/>
    <xf numFmtId="6" fontId="42" fillId="0" borderId="0" xfId="124" applyNumberFormat="1" applyFont="1" applyBorder="1"/>
    <xf numFmtId="184" fontId="42" fillId="0" borderId="0" xfId="132" applyNumberFormat="1" applyFont="1" applyBorder="1"/>
    <xf numFmtId="8" fontId="39" fillId="0" borderId="5" xfId="124" applyNumberFormat="1" applyFont="1" applyBorder="1"/>
    <xf numFmtId="8" fontId="39" fillId="0" borderId="8" xfId="124" applyNumberFormat="1" applyFont="1" applyBorder="1"/>
    <xf numFmtId="8" fontId="42" fillId="0" borderId="0" xfId="124" applyNumberFormat="1" applyFont="1" applyBorder="1"/>
  </cellXfs>
  <cellStyles count="138">
    <cellStyle name="20% - Accent1 2" xfId="1" xr:uid="{00000000-0005-0000-0000-000000000000}"/>
    <cellStyle name="20% - Accent1 2 2" xfId="109" xr:uid="{CF621B4B-A19F-4BEA-8376-9E8317797C7D}"/>
    <cellStyle name="20% - Accent2 2" xfId="2" xr:uid="{00000000-0005-0000-0000-000001000000}"/>
    <cellStyle name="20% - Accent2 2 2" xfId="110" xr:uid="{F5999FAC-2844-4B4F-915F-9CCCCDEB0979}"/>
    <cellStyle name="20% - Accent3 2" xfId="3" xr:uid="{00000000-0005-0000-0000-000002000000}"/>
    <cellStyle name="20% - Accent3 2 2" xfId="111" xr:uid="{7214CA3A-5DEC-45D4-B977-C32E9A8A6BAD}"/>
    <cellStyle name="20% - Accent4 2" xfId="4" xr:uid="{00000000-0005-0000-0000-000003000000}"/>
    <cellStyle name="20% - Accent4 2 2" xfId="112" xr:uid="{7A64BC8D-2578-48C2-90A0-B9AFF5DAA56C}"/>
    <cellStyle name="20% - Accent5 2" xfId="5" xr:uid="{00000000-0005-0000-0000-000004000000}"/>
    <cellStyle name="20% - Accent5 2 2" xfId="113" xr:uid="{3DA8403A-3D33-4E28-A3F6-31AC673A8888}"/>
    <cellStyle name="20% - Accent6 2" xfId="6" xr:uid="{00000000-0005-0000-0000-000005000000}"/>
    <cellStyle name="20% - Accent6 2 2" xfId="114" xr:uid="{ABB04934-824A-4797-8330-622F3F1A9B46}"/>
    <cellStyle name="40% - Accent1 2" xfId="7" xr:uid="{00000000-0005-0000-0000-000006000000}"/>
    <cellStyle name="40% - Accent1 2 2" xfId="115" xr:uid="{2DEC59EC-ECFC-459B-B8E6-FA40A767FAFF}"/>
    <cellStyle name="40% - Accent2 2" xfId="8" xr:uid="{00000000-0005-0000-0000-000007000000}"/>
    <cellStyle name="40% - Accent2 2 2" xfId="116" xr:uid="{AB13CA40-AC24-4B05-980B-9982CF451C44}"/>
    <cellStyle name="40% - Accent3 2" xfId="9" xr:uid="{00000000-0005-0000-0000-000008000000}"/>
    <cellStyle name="40% - Accent3 2 2" xfId="117" xr:uid="{F2D8E7AF-3A08-4F57-969C-8B040C713E9C}"/>
    <cellStyle name="40% - Accent4 2" xfId="10" xr:uid="{00000000-0005-0000-0000-000009000000}"/>
    <cellStyle name="40% - Accent4 2 2" xfId="118" xr:uid="{C890E594-6928-4932-82E3-B681483B0148}"/>
    <cellStyle name="40% - Accent5 2" xfId="11" xr:uid="{00000000-0005-0000-0000-00000A000000}"/>
    <cellStyle name="40% - Accent5 2 2" xfId="119" xr:uid="{ED034138-0AEA-45B0-9578-68FA72F4CA0E}"/>
    <cellStyle name="40% - Accent6 2" xfId="12" xr:uid="{00000000-0005-0000-0000-00000B000000}"/>
    <cellStyle name="40% - Accent6 2 2" xfId="120" xr:uid="{DF6A29F6-D50C-4308-8ED3-9D5502C53CC2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132" builtinId="3"/>
    <cellStyle name="Comma [0] 2" xfId="28" xr:uid="{00000000-0005-0000-0000-00001C000000}"/>
    <cellStyle name="Comma 2" xfId="29" xr:uid="{00000000-0005-0000-0000-00001D000000}"/>
    <cellStyle name="Comma 2 2" xfId="30" xr:uid="{00000000-0005-0000-0000-00001E000000}"/>
    <cellStyle name="Comma 2 3" xfId="31" xr:uid="{00000000-0005-0000-0000-00001F000000}"/>
    <cellStyle name="Comma 3" xfId="32" xr:uid="{00000000-0005-0000-0000-000020000000}"/>
    <cellStyle name="Comma 3 2" xfId="33" xr:uid="{00000000-0005-0000-0000-000021000000}"/>
    <cellStyle name="Comma 4" xfId="34" xr:uid="{00000000-0005-0000-0000-000022000000}"/>
    <cellStyle name="Comma 4 2" xfId="35" xr:uid="{00000000-0005-0000-0000-000023000000}"/>
    <cellStyle name="Comma 5" xfId="36" xr:uid="{00000000-0005-0000-0000-000024000000}"/>
    <cellStyle name="Comma 6" xfId="37" xr:uid="{00000000-0005-0000-0000-000025000000}"/>
    <cellStyle name="Comma 7" xfId="131" xr:uid="{567C5E67-FF87-4340-8A77-4DA00002A0C8}"/>
    <cellStyle name="Comma 8" xfId="135" xr:uid="{A67593D6-0539-4E1A-9DEA-21B3FB246B86}"/>
    <cellStyle name="Currency" xfId="124" builtinId="4"/>
    <cellStyle name="Currency [0] 2" xfId="38" xr:uid="{00000000-0005-0000-0000-000027000000}"/>
    <cellStyle name="Currency [0] 2 2" xfId="39" xr:uid="{00000000-0005-0000-0000-000028000000}"/>
    <cellStyle name="Currency [0] 3" xfId="40" xr:uid="{00000000-0005-0000-0000-000029000000}"/>
    <cellStyle name="Currency [0] 4" xfId="129" xr:uid="{8756F9CA-BF68-435B-B6A2-80B7A5D02184}"/>
    <cellStyle name="Currency [0] 5" xfId="137" xr:uid="{555DD294-DC70-4E59-B980-B4FBE08A8BE1}"/>
    <cellStyle name="Currency 10" xfId="41" xr:uid="{00000000-0005-0000-0000-00002A000000}"/>
    <cellStyle name="Currency 11" xfId="42" xr:uid="{00000000-0005-0000-0000-00002B000000}"/>
    <cellStyle name="Currency 12" xfId="43" xr:uid="{00000000-0005-0000-0000-00002C000000}"/>
    <cellStyle name="Currency 13" xfId="44" xr:uid="{00000000-0005-0000-0000-00002D000000}"/>
    <cellStyle name="Currency 14" xfId="45" xr:uid="{00000000-0005-0000-0000-00002E000000}"/>
    <cellStyle name="Currency 15" xfId="46" xr:uid="{00000000-0005-0000-0000-00002F000000}"/>
    <cellStyle name="Currency 16" xfId="47" xr:uid="{00000000-0005-0000-0000-000030000000}"/>
    <cellStyle name="Currency 17" xfId="48" xr:uid="{00000000-0005-0000-0000-000031000000}"/>
    <cellStyle name="Currency 18" xfId="49" xr:uid="{00000000-0005-0000-0000-000032000000}"/>
    <cellStyle name="Currency 19" xfId="50" xr:uid="{00000000-0005-0000-0000-000033000000}"/>
    <cellStyle name="Currency 2" xfId="51" xr:uid="{00000000-0005-0000-0000-000034000000}"/>
    <cellStyle name="Currency 2 2" xfId="52" xr:uid="{00000000-0005-0000-0000-000035000000}"/>
    <cellStyle name="Currency 20" xfId="53" xr:uid="{00000000-0005-0000-0000-000036000000}"/>
    <cellStyle name="Currency 21" xfId="54" xr:uid="{00000000-0005-0000-0000-000037000000}"/>
    <cellStyle name="Currency 22" xfId="55" xr:uid="{00000000-0005-0000-0000-000038000000}"/>
    <cellStyle name="Currency 23" xfId="56" xr:uid="{00000000-0005-0000-0000-000039000000}"/>
    <cellStyle name="Currency 24" xfId="57" xr:uid="{00000000-0005-0000-0000-00003A000000}"/>
    <cellStyle name="Currency 25" xfId="58" xr:uid="{00000000-0005-0000-0000-00003B000000}"/>
    <cellStyle name="Currency 26" xfId="59" xr:uid="{00000000-0005-0000-0000-00003C000000}"/>
    <cellStyle name="Currency 27" xfId="60" xr:uid="{00000000-0005-0000-0000-00003D000000}"/>
    <cellStyle name="Currency 28" xfId="61" xr:uid="{00000000-0005-0000-0000-00003E000000}"/>
    <cellStyle name="Currency 29" xfId="62" xr:uid="{00000000-0005-0000-0000-00003F000000}"/>
    <cellStyle name="Currency 3" xfId="63" xr:uid="{00000000-0005-0000-0000-000040000000}"/>
    <cellStyle name="Currency 30" xfId="64" xr:uid="{00000000-0005-0000-0000-000041000000}"/>
    <cellStyle name="Currency 31" xfId="65" xr:uid="{00000000-0005-0000-0000-000042000000}"/>
    <cellStyle name="Currency 32" xfId="66" xr:uid="{00000000-0005-0000-0000-000043000000}"/>
    <cellStyle name="Currency 33" xfId="67" xr:uid="{00000000-0005-0000-0000-000044000000}"/>
    <cellStyle name="Currency 34" xfId="68" xr:uid="{00000000-0005-0000-0000-000045000000}"/>
    <cellStyle name="Currency 35" xfId="69" xr:uid="{00000000-0005-0000-0000-000046000000}"/>
    <cellStyle name="Currency 36" xfId="70" xr:uid="{00000000-0005-0000-0000-000047000000}"/>
    <cellStyle name="Currency 37" xfId="71" xr:uid="{00000000-0005-0000-0000-000048000000}"/>
    <cellStyle name="Currency 38" xfId="72" xr:uid="{00000000-0005-0000-0000-000049000000}"/>
    <cellStyle name="Currency 39" xfId="73" xr:uid="{00000000-0005-0000-0000-00004A000000}"/>
    <cellStyle name="Currency 4" xfId="74" xr:uid="{00000000-0005-0000-0000-00004B000000}"/>
    <cellStyle name="Currency 40" xfId="75" xr:uid="{00000000-0005-0000-0000-00004C000000}"/>
    <cellStyle name="Currency 41" xfId="76" xr:uid="{00000000-0005-0000-0000-00004D000000}"/>
    <cellStyle name="Currency 42" xfId="134" xr:uid="{84040226-3D09-4379-ABAB-30E3BFDE84C6}"/>
    <cellStyle name="Currency 5" xfId="77" xr:uid="{00000000-0005-0000-0000-00004E000000}"/>
    <cellStyle name="Currency 6" xfId="78" xr:uid="{00000000-0005-0000-0000-00004F000000}"/>
    <cellStyle name="Currency 7" xfId="79" xr:uid="{00000000-0005-0000-0000-000050000000}"/>
    <cellStyle name="Currency 8" xfId="80" xr:uid="{00000000-0005-0000-0000-000051000000}"/>
    <cellStyle name="Currency 9" xfId="81" xr:uid="{00000000-0005-0000-0000-000052000000}"/>
    <cellStyle name="Explanatory Text 2" xfId="82" xr:uid="{00000000-0005-0000-0000-000053000000}"/>
    <cellStyle name="Good 2" xfId="83" xr:uid="{00000000-0005-0000-0000-000054000000}"/>
    <cellStyle name="Heading 1 2" xfId="84" xr:uid="{00000000-0005-0000-0000-000055000000}"/>
    <cellStyle name="Heading 2 2" xfId="85" xr:uid="{00000000-0005-0000-0000-000056000000}"/>
    <cellStyle name="Heading 3 2" xfId="86" xr:uid="{00000000-0005-0000-0000-000057000000}"/>
    <cellStyle name="Heading 4 2" xfId="87" xr:uid="{00000000-0005-0000-0000-000058000000}"/>
    <cellStyle name="Hyperlink" xfId="88" builtinId="8"/>
    <cellStyle name="Input 2" xfId="89" xr:uid="{00000000-0005-0000-0000-00005A000000}"/>
    <cellStyle name="Linked Cell 2" xfId="90" xr:uid="{00000000-0005-0000-0000-00005B000000}"/>
    <cellStyle name="Neutral 2" xfId="91" xr:uid="{00000000-0005-0000-0000-00005C000000}"/>
    <cellStyle name="Normal" xfId="0" builtinId="0"/>
    <cellStyle name="Normal 2" xfId="92" xr:uid="{00000000-0005-0000-0000-00005E000000}"/>
    <cellStyle name="Normal 2 2" xfId="93" xr:uid="{00000000-0005-0000-0000-00005F000000}"/>
    <cellStyle name="Normal 2 2 2" xfId="94" xr:uid="{00000000-0005-0000-0000-000060000000}"/>
    <cellStyle name="Normal 2 2 3" xfId="121" xr:uid="{8C471388-2AE5-43BA-85DD-FB793D8C660B}"/>
    <cellStyle name="Normal 2 2 4" xfId="130" xr:uid="{9D870D7E-359B-4293-AE57-CC82D17C79F7}"/>
    <cellStyle name="Normal 2 2 5" xfId="136" xr:uid="{25651AA2-67DE-496D-A263-938867B30688}"/>
    <cellStyle name="Normal 2 3" xfId="95" xr:uid="{00000000-0005-0000-0000-000061000000}"/>
    <cellStyle name="Normal 2 3 2" xfId="122" xr:uid="{638396B8-307F-42C4-BD60-FC29AC91DA29}"/>
    <cellStyle name="Normal 2 4" xfId="96" xr:uid="{00000000-0005-0000-0000-000062000000}"/>
    <cellStyle name="Normal 3" xfId="97" xr:uid="{00000000-0005-0000-0000-000063000000}"/>
    <cellStyle name="Normal 3 2" xfId="123" xr:uid="{1B3241AC-3F8A-4CBB-9A30-CD57FFDCE49E}"/>
    <cellStyle name="Normal 4" xfId="98" xr:uid="{00000000-0005-0000-0000-000064000000}"/>
    <cellStyle name="Normal 4 2" xfId="99" xr:uid="{00000000-0005-0000-0000-000065000000}"/>
    <cellStyle name="Normal 4 3" xfId="100" xr:uid="{00000000-0005-0000-0000-000066000000}"/>
    <cellStyle name="Normal 5" xfId="101" xr:uid="{00000000-0005-0000-0000-000067000000}"/>
    <cellStyle name="Normal 5 2" xfId="102" xr:uid="{00000000-0005-0000-0000-000068000000}"/>
    <cellStyle name="Normal 6" xfId="126" xr:uid="{90E19993-6D78-4835-A6D1-2707CED7845C}"/>
    <cellStyle name="Normal 7" xfId="128" xr:uid="{E2544C4A-8E1A-4C6B-B270-3C40BDCFEC5D}"/>
    <cellStyle name="Normal 8" xfId="133" xr:uid="{85C41FBF-10BA-49A7-913E-69CB65ACFA22}"/>
    <cellStyle name="Note 2" xfId="103" xr:uid="{00000000-0005-0000-0000-000069000000}"/>
    <cellStyle name="Output 2" xfId="104" xr:uid="{00000000-0005-0000-0000-00006A000000}"/>
    <cellStyle name="Percent" xfId="125" builtinId="5"/>
    <cellStyle name="Percent 2" xfId="105" xr:uid="{00000000-0005-0000-0000-00006B000000}"/>
    <cellStyle name="Percent 3" xfId="127" xr:uid="{46CA8EF2-B15E-49A9-808E-ED74E90576D1}"/>
    <cellStyle name="Title" xfId="106" builtinId="15" customBuiltin="1"/>
    <cellStyle name="Total 2" xfId="107" xr:uid="{00000000-0005-0000-0000-00006D000000}"/>
    <cellStyle name="Warning Text 2" xfId="108" xr:uid="{00000000-0005-0000-0000-00006E000000}"/>
  </cellStyles>
  <dxfs count="15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5" formatCode="_(* #,##0.0_);_(* \(#,##0.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3" formatCode="_(* #,##0.00000_);_(* \(#,##0.0000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5" formatCode="_(* #,##0.0_);_(* \(#,##0.0\);_(* &quot;-&quot;??_);_(@_)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SP%20Support\Taxes%20-%20TC\AVTRP24.xlsx" TargetMode="External"/><Relationship Id="rId1" Type="http://schemas.openxmlformats.org/officeDocument/2006/relationships/externalLinkPath" Target="/MSP%20Support/Taxes%20-%20TC/AVTRP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MSP24\Data\TY%202023%20School%20District%20Tax%20Rates%2011.2.2023.xlsx" TargetMode="External"/><Relationship Id="rId1" Type="http://schemas.openxmlformats.org/officeDocument/2006/relationships/externalLinkPath" Target="/MSP24/Data/TY%202023%20School%20District%20Tax%20Rates%2011.2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AVTRP24"/>
    </sheetNames>
    <sheetDataSet>
      <sheetData sheetId="0" refreshError="1"/>
      <sheetData sheetId="1">
        <row r="4">
          <cell r="A4">
            <v>1</v>
          </cell>
          <cell r="H4">
            <v>53403033918</v>
          </cell>
        </row>
        <row r="5">
          <cell r="A5">
            <v>2</v>
          </cell>
          <cell r="H5">
            <v>1536734673</v>
          </cell>
        </row>
        <row r="6">
          <cell r="A6">
            <v>3</v>
          </cell>
          <cell r="H6">
            <v>7731976861</v>
          </cell>
        </row>
        <row r="7">
          <cell r="A7">
            <v>4</v>
          </cell>
          <cell r="H7">
            <v>10118740377</v>
          </cell>
        </row>
        <row r="8">
          <cell r="A8">
            <v>5</v>
          </cell>
          <cell r="H8">
            <v>2704907523</v>
          </cell>
        </row>
        <row r="9">
          <cell r="A9">
            <v>6</v>
          </cell>
          <cell r="H9">
            <v>443335584</v>
          </cell>
        </row>
        <row r="10">
          <cell r="A10">
            <v>7</v>
          </cell>
          <cell r="H10">
            <v>40303794199</v>
          </cell>
        </row>
        <row r="11">
          <cell r="A11">
            <v>8</v>
          </cell>
          <cell r="H11">
            <v>3800364778</v>
          </cell>
        </row>
        <row r="12">
          <cell r="A12">
            <v>9</v>
          </cell>
          <cell r="H12">
            <v>2186169275</v>
          </cell>
        </row>
        <row r="13">
          <cell r="A13">
            <v>10</v>
          </cell>
          <cell r="H13">
            <v>828529705</v>
          </cell>
        </row>
        <row r="14">
          <cell r="A14">
            <v>11</v>
          </cell>
          <cell r="H14">
            <v>3398538279</v>
          </cell>
        </row>
        <row r="15">
          <cell r="A15">
            <v>12</v>
          </cell>
          <cell r="H15">
            <v>45610096226</v>
          </cell>
        </row>
        <row r="16">
          <cell r="A16">
            <v>13</v>
          </cell>
          <cell r="H16">
            <v>7820683316</v>
          </cell>
        </row>
        <row r="17">
          <cell r="A17">
            <v>14</v>
          </cell>
          <cell r="H17">
            <v>40139907456</v>
          </cell>
        </row>
        <row r="18">
          <cell r="A18">
            <v>15</v>
          </cell>
          <cell r="H18">
            <v>1761050731</v>
          </cell>
        </row>
        <row r="19">
          <cell r="A19">
            <v>16</v>
          </cell>
          <cell r="H19">
            <v>2748188422</v>
          </cell>
        </row>
        <row r="20">
          <cell r="A20">
            <v>17</v>
          </cell>
          <cell r="H20">
            <v>2978993558</v>
          </cell>
        </row>
        <row r="21">
          <cell r="A21">
            <v>18</v>
          </cell>
          <cell r="H21">
            <v>2445635577</v>
          </cell>
        </row>
        <row r="22">
          <cell r="A22">
            <v>19</v>
          </cell>
          <cell r="H22">
            <v>18594664888</v>
          </cell>
        </row>
        <row r="23">
          <cell r="A23">
            <v>20</v>
          </cell>
          <cell r="H23">
            <v>1487705763</v>
          </cell>
        </row>
        <row r="24">
          <cell r="A24">
            <v>21</v>
          </cell>
          <cell r="H24">
            <v>3746385938</v>
          </cell>
        </row>
        <row r="25">
          <cell r="A25">
            <v>22</v>
          </cell>
          <cell r="H25">
            <v>38232899427</v>
          </cell>
        </row>
        <row r="26">
          <cell r="A26">
            <v>23</v>
          </cell>
          <cell r="H26">
            <v>194168861</v>
          </cell>
        </row>
        <row r="27">
          <cell r="A27">
            <v>24</v>
          </cell>
          <cell r="H27">
            <v>2712521188</v>
          </cell>
        </row>
        <row r="28">
          <cell r="A28">
            <v>25</v>
          </cell>
          <cell r="H28">
            <v>962965240</v>
          </cell>
        </row>
        <row r="29">
          <cell r="A29">
            <v>26</v>
          </cell>
          <cell r="H29">
            <v>2738820244</v>
          </cell>
        </row>
        <row r="30">
          <cell r="A30">
            <v>27</v>
          </cell>
          <cell r="H30">
            <v>1149944697</v>
          </cell>
        </row>
        <row r="31">
          <cell r="A31">
            <v>28</v>
          </cell>
          <cell r="H31">
            <v>6104128778</v>
          </cell>
        </row>
        <row r="32">
          <cell r="A32">
            <v>29</v>
          </cell>
          <cell r="H32">
            <v>118386409</v>
          </cell>
        </row>
        <row r="33">
          <cell r="A33">
            <v>30</v>
          </cell>
          <cell r="H33">
            <v>9857052106</v>
          </cell>
        </row>
        <row r="34">
          <cell r="A34">
            <v>31</v>
          </cell>
          <cell r="H34">
            <v>5362255577</v>
          </cell>
        </row>
        <row r="35">
          <cell r="A35">
            <v>32</v>
          </cell>
          <cell r="H35">
            <v>16255399103</v>
          </cell>
        </row>
        <row r="36">
          <cell r="A36">
            <v>33</v>
          </cell>
          <cell r="H36">
            <v>37944469041</v>
          </cell>
        </row>
        <row r="37">
          <cell r="A37">
            <v>34</v>
          </cell>
          <cell r="H37">
            <v>630476289</v>
          </cell>
        </row>
        <row r="38">
          <cell r="A38">
            <v>35</v>
          </cell>
          <cell r="H38">
            <v>22771752892</v>
          </cell>
        </row>
        <row r="39">
          <cell r="A39">
            <v>36</v>
          </cell>
          <cell r="H39">
            <v>41887944337</v>
          </cell>
        </row>
        <row r="40">
          <cell r="A40">
            <v>37</v>
          </cell>
          <cell r="H40">
            <v>9123111003</v>
          </cell>
        </row>
        <row r="41">
          <cell r="A41">
            <v>38</v>
          </cell>
          <cell r="H41">
            <v>10091931453</v>
          </cell>
        </row>
        <row r="42">
          <cell r="A42">
            <v>39</v>
          </cell>
          <cell r="H42">
            <v>5073334772</v>
          </cell>
        </row>
        <row r="43">
          <cell r="A43">
            <v>40</v>
          </cell>
          <cell r="H43">
            <v>6255991530</v>
          </cell>
        </row>
        <row r="44">
          <cell r="A44">
            <v>42</v>
          </cell>
          <cell r="H44">
            <v>35246481997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Pivots"/>
      <sheetName val="WorkSheet1"/>
    </sheetNames>
    <sheetDataSet>
      <sheetData sheetId="0">
        <row r="2">
          <cell r="A2">
            <v>1</v>
          </cell>
          <cell r="C2">
            <v>1.4059999999999999E-3</v>
          </cell>
          <cell r="D2">
            <v>1.0200000000000001E-3</v>
          </cell>
          <cell r="E2">
            <v>1.018E-3</v>
          </cell>
          <cell r="F2">
            <v>1.232E-3</v>
          </cell>
          <cell r="J2">
            <v>6.3999999999999997E-5</v>
          </cell>
          <cell r="M2">
            <v>7.7800000000000005E-4</v>
          </cell>
        </row>
        <row r="3">
          <cell r="A3">
            <v>2</v>
          </cell>
          <cell r="C3">
            <v>1.4059999999999999E-3</v>
          </cell>
          <cell r="D3">
            <v>6.8300000000000001E-4</v>
          </cell>
          <cell r="E3">
            <v>9.990000000000001E-4</v>
          </cell>
          <cell r="F3">
            <v>9.01E-4</v>
          </cell>
          <cell r="J3">
            <v>3.9999999999999998E-6</v>
          </cell>
          <cell r="M3">
            <v>1.776E-3</v>
          </cell>
        </row>
        <row r="4">
          <cell r="A4">
            <v>3</v>
          </cell>
          <cell r="C4">
            <v>1.4059999999999999E-3</v>
          </cell>
          <cell r="D4">
            <v>4.4999999999999999E-4</v>
          </cell>
          <cell r="E4">
            <v>1.5280000000000001E-3</v>
          </cell>
          <cell r="F4">
            <v>4.66E-4</v>
          </cell>
          <cell r="J4">
            <v>5.0000000000000002E-5</v>
          </cell>
          <cell r="M4">
            <v>1.905E-3</v>
          </cell>
        </row>
        <row r="5">
          <cell r="A5">
            <v>4</v>
          </cell>
          <cell r="C5">
            <v>1.4059999999999999E-3</v>
          </cell>
          <cell r="D5">
            <v>2.0249999999999999E-3</v>
          </cell>
          <cell r="E5">
            <v>4.75E-4</v>
          </cell>
          <cell r="F5">
            <v>8.5499999999999997E-4</v>
          </cell>
          <cell r="J5">
            <v>3.1000000000000001E-5</v>
          </cell>
          <cell r="M5">
            <v>7.9500000000000003E-4</v>
          </cell>
        </row>
        <row r="6">
          <cell r="A6">
            <v>42</v>
          </cell>
          <cell r="C6">
            <v>1.4059999999999999E-3</v>
          </cell>
          <cell r="D6">
            <v>1.3079999999999999E-3</v>
          </cell>
          <cell r="E6">
            <v>6.0400000000000004E-4</v>
          </cell>
          <cell r="F6">
            <v>1.1999999999999999E-3</v>
          </cell>
          <cell r="J6">
            <v>6.7999999999999999E-5</v>
          </cell>
          <cell r="M6">
            <v>1.119E-3</v>
          </cell>
        </row>
        <row r="7">
          <cell r="A7">
            <v>5</v>
          </cell>
          <cell r="C7">
            <v>1.4059999999999999E-3</v>
          </cell>
          <cell r="D7">
            <v>9.4700000000000003E-4</v>
          </cell>
          <cell r="E7">
            <v>1.312E-3</v>
          </cell>
          <cell r="F7">
            <v>7.8299999999999995E-4</v>
          </cell>
          <cell r="J7">
            <v>1.02E-4</v>
          </cell>
          <cell r="M7">
            <v>1.9729999999999999E-3</v>
          </cell>
        </row>
        <row r="8">
          <cell r="A8">
            <v>6</v>
          </cell>
          <cell r="C8">
            <v>1.4059999999999999E-3</v>
          </cell>
          <cell r="D8">
            <v>3.0299999999999999E-4</v>
          </cell>
          <cell r="E8">
            <v>8.0000000000000004E-4</v>
          </cell>
          <cell r="J8">
            <v>0</v>
          </cell>
          <cell r="M8">
            <v>1.598E-3</v>
          </cell>
        </row>
        <row r="9">
          <cell r="A9">
            <v>7</v>
          </cell>
          <cell r="C9">
            <v>1.4059999999999999E-3</v>
          </cell>
          <cell r="D9">
            <v>1.629E-3</v>
          </cell>
          <cell r="E9">
            <v>4.35E-4</v>
          </cell>
          <cell r="F9">
            <v>1.2880000000000001E-3</v>
          </cell>
          <cell r="J9">
            <v>8.3999999999999995E-5</v>
          </cell>
          <cell r="M9">
            <v>1.3860000000000001E-3</v>
          </cell>
        </row>
        <row r="10">
          <cell r="A10">
            <v>8</v>
          </cell>
          <cell r="C10">
            <v>1.4059999999999999E-3</v>
          </cell>
          <cell r="D10">
            <v>1.2800000000000001E-3</v>
          </cell>
          <cell r="E10">
            <v>2.614E-3</v>
          </cell>
          <cell r="F10">
            <v>1.2179999999999999E-3</v>
          </cell>
          <cell r="J10">
            <v>4.0000000000000003E-5</v>
          </cell>
          <cell r="M10">
            <v>1.1299999999999999E-3</v>
          </cell>
        </row>
        <row r="11">
          <cell r="A11">
            <v>9</v>
          </cell>
          <cell r="C11">
            <v>1.4059999999999999E-3</v>
          </cell>
          <cell r="D11">
            <v>2.173E-3</v>
          </cell>
          <cell r="E11">
            <v>1.127E-3</v>
          </cell>
          <cell r="F11">
            <v>1.673E-3</v>
          </cell>
          <cell r="J11">
            <v>2.4000000000000001E-5</v>
          </cell>
          <cell r="M11">
            <v>2.147E-3</v>
          </cell>
        </row>
        <row r="12">
          <cell r="A12">
            <v>10</v>
          </cell>
          <cell r="C12">
            <v>1.4059999999999999E-3</v>
          </cell>
          <cell r="E12">
            <v>2.2070000000000002E-3</v>
          </cell>
          <cell r="F12">
            <v>1.5690000000000001E-3</v>
          </cell>
          <cell r="J12">
            <v>1.9999999999999999E-6</v>
          </cell>
          <cell r="M12">
            <v>7.8700000000000005E-4</v>
          </cell>
        </row>
        <row r="13">
          <cell r="A13">
            <v>11</v>
          </cell>
          <cell r="C13">
            <v>1.4059999999999999E-3</v>
          </cell>
          <cell r="D13">
            <v>7.9600000000000005E-4</v>
          </cell>
          <cell r="E13">
            <v>1.358E-3</v>
          </cell>
          <cell r="F13">
            <v>1E-3</v>
          </cell>
          <cell r="J13">
            <v>1.73E-4</v>
          </cell>
          <cell r="M13">
            <v>1.714E-3</v>
          </cell>
        </row>
        <row r="14">
          <cell r="A14">
            <v>12</v>
          </cell>
          <cell r="C14">
            <v>1.4059999999999999E-3</v>
          </cell>
          <cell r="D14">
            <v>7.4299999999999995E-4</v>
          </cell>
          <cell r="E14">
            <v>1.524E-3</v>
          </cell>
          <cell r="F14">
            <v>8.0199999999999998E-4</v>
          </cell>
          <cell r="J14">
            <v>1.3200000000000001E-4</v>
          </cell>
          <cell r="M14">
            <v>1.7459999999999999E-3</v>
          </cell>
        </row>
        <row r="15">
          <cell r="A15">
            <v>13</v>
          </cell>
          <cell r="C15">
            <v>1.4059999999999999E-3</v>
          </cell>
          <cell r="D15">
            <v>1.2210000000000001E-3</v>
          </cell>
          <cell r="E15">
            <v>7.0500000000000001E-4</v>
          </cell>
          <cell r="F15">
            <v>5.6499999999999996E-4</v>
          </cell>
          <cell r="J15">
            <v>3.1999999999999999E-5</v>
          </cell>
          <cell r="M15">
            <v>7.8899999999999999E-4</v>
          </cell>
        </row>
        <row r="16">
          <cell r="A16">
            <v>14</v>
          </cell>
          <cell r="C16">
            <v>1.4059999999999999E-3</v>
          </cell>
          <cell r="D16">
            <v>5.04E-4</v>
          </cell>
          <cell r="E16">
            <v>1.1869999999999999E-3</v>
          </cell>
          <cell r="F16">
            <v>1.6000000000000001E-3</v>
          </cell>
          <cell r="J16">
            <v>1.03E-4</v>
          </cell>
          <cell r="M16">
            <v>9.3700000000000001E-4</v>
          </cell>
        </row>
        <row r="17">
          <cell r="A17">
            <v>15</v>
          </cell>
          <cell r="C17">
            <v>1.4059999999999999E-3</v>
          </cell>
          <cell r="D17">
            <v>1.1000000000000001E-3</v>
          </cell>
          <cell r="E17">
            <v>1.7340000000000001E-3</v>
          </cell>
          <cell r="F17">
            <v>2.99E-4</v>
          </cell>
          <cell r="J17">
            <v>1.1E-5</v>
          </cell>
          <cell r="M17">
            <v>2.032E-3</v>
          </cell>
        </row>
        <row r="18">
          <cell r="A18">
            <v>16</v>
          </cell>
          <cell r="C18">
            <v>1.4059999999999999E-3</v>
          </cell>
          <cell r="E18">
            <v>5.9800000000000001E-4</v>
          </cell>
          <cell r="F18">
            <v>6.1300000000000005E-4</v>
          </cell>
          <cell r="J18">
            <v>9.9999999999999995E-7</v>
          </cell>
          <cell r="M18">
            <v>1.0499999999999999E-3</v>
          </cell>
        </row>
        <row r="19">
          <cell r="A19">
            <v>39</v>
          </cell>
          <cell r="C19">
            <v>1.4059999999999999E-3</v>
          </cell>
          <cell r="D19">
            <v>6.8000000000000005E-4</v>
          </cell>
          <cell r="E19">
            <v>1.433E-3</v>
          </cell>
          <cell r="F19">
            <v>9.4799999999999995E-4</v>
          </cell>
          <cell r="J19">
            <v>1.3999999999999999E-4</v>
          </cell>
          <cell r="M19">
            <v>1.34E-3</v>
          </cell>
        </row>
        <row r="20">
          <cell r="A20">
            <v>17</v>
          </cell>
          <cell r="C20">
            <v>1.4059999999999999E-3</v>
          </cell>
          <cell r="E20">
            <v>1.6739999999999999E-3</v>
          </cell>
          <cell r="F20">
            <v>7.0600000000000003E-4</v>
          </cell>
          <cell r="J20">
            <v>9.0000000000000002E-6</v>
          </cell>
          <cell r="M20">
            <v>2.1870000000000001E-3</v>
          </cell>
        </row>
        <row r="21">
          <cell r="A21">
            <v>18</v>
          </cell>
          <cell r="C21">
            <v>1.4059999999999999E-3</v>
          </cell>
          <cell r="D21">
            <v>2.0470000000000002E-3</v>
          </cell>
          <cell r="E21">
            <v>1.606E-3</v>
          </cell>
          <cell r="J21">
            <v>1.5E-5</v>
          </cell>
          <cell r="M21">
            <v>2.1350000000000002E-3</v>
          </cell>
        </row>
        <row r="22">
          <cell r="A22">
            <v>40</v>
          </cell>
          <cell r="C22">
            <v>1.4059999999999999E-3</v>
          </cell>
          <cell r="D22">
            <v>5.9299999999999999E-4</v>
          </cell>
          <cell r="E22">
            <v>4.3399999999999998E-4</v>
          </cell>
          <cell r="F22">
            <v>1.2160000000000001E-3</v>
          </cell>
          <cell r="J22">
            <v>4.3999999999999999E-5</v>
          </cell>
          <cell r="M22">
            <v>1.049E-3</v>
          </cell>
        </row>
        <row r="23">
          <cell r="A23">
            <v>19</v>
          </cell>
          <cell r="C23">
            <v>1.4059999999999999E-3</v>
          </cell>
          <cell r="D23">
            <v>2.3999999999999998E-3</v>
          </cell>
          <cell r="E23">
            <v>1.085E-3</v>
          </cell>
          <cell r="F23">
            <v>1.2999999999999999E-3</v>
          </cell>
          <cell r="J23">
            <v>7.4999999999999993E-5</v>
          </cell>
          <cell r="M23">
            <v>1.1590000000000001E-3</v>
          </cell>
        </row>
        <row r="24">
          <cell r="A24">
            <v>20</v>
          </cell>
          <cell r="C24">
            <v>1.4059999999999999E-3</v>
          </cell>
          <cell r="D24">
            <v>8.1999999999999998E-4</v>
          </cell>
          <cell r="E24">
            <v>1.042E-3</v>
          </cell>
          <cell r="F24">
            <v>9.9700000000000006E-4</v>
          </cell>
          <cell r="J24">
            <v>1.9999999999999999E-6</v>
          </cell>
          <cell r="M24">
            <v>1.057E-3</v>
          </cell>
        </row>
        <row r="25">
          <cell r="A25">
            <v>21</v>
          </cell>
          <cell r="C25">
            <v>1.4059999999999999E-3</v>
          </cell>
          <cell r="D25">
            <v>1.9599999999999999E-4</v>
          </cell>
          <cell r="E25">
            <v>3.6600000000000001E-4</v>
          </cell>
          <cell r="F25">
            <v>1.01E-4</v>
          </cell>
          <cell r="J25">
            <v>1.4E-5</v>
          </cell>
          <cell r="M25">
            <v>1.1490000000000001E-3</v>
          </cell>
        </row>
        <row r="26">
          <cell r="A26">
            <v>37</v>
          </cell>
          <cell r="C26">
            <v>1.4059999999999999E-3</v>
          </cell>
          <cell r="D26">
            <v>1.4250000000000001E-3</v>
          </cell>
          <cell r="E26">
            <v>1.325E-3</v>
          </cell>
          <cell r="F26">
            <v>1.4660000000000001E-3</v>
          </cell>
          <cell r="J26">
            <v>1.4300000000000001E-4</v>
          </cell>
          <cell r="M26">
            <v>1.25E-3</v>
          </cell>
        </row>
        <row r="27">
          <cell r="A27">
            <v>22</v>
          </cell>
          <cell r="C27">
            <v>1.4059999999999999E-3</v>
          </cell>
          <cell r="D27">
            <v>1.3200000000000001E-4</v>
          </cell>
          <cell r="E27">
            <v>2.3499999999999999E-4</v>
          </cell>
          <cell r="F27">
            <v>5.3200000000000003E-4</v>
          </cell>
          <cell r="J27">
            <v>1.5E-5</v>
          </cell>
          <cell r="M27">
            <v>1.1640000000000001E-3</v>
          </cell>
        </row>
        <row r="28">
          <cell r="A28">
            <v>23</v>
          </cell>
          <cell r="C28">
            <v>1.4059999999999999E-3</v>
          </cell>
          <cell r="D28">
            <v>9.0700000000000004E-4</v>
          </cell>
          <cell r="E28">
            <v>3.8999999999999999E-5</v>
          </cell>
          <cell r="F28">
            <v>1.467E-3</v>
          </cell>
          <cell r="J28">
            <v>6.9999999999999999E-6</v>
          </cell>
          <cell r="M28">
            <v>3.6600000000000001E-4</v>
          </cell>
        </row>
        <row r="29">
          <cell r="A29">
            <v>38</v>
          </cell>
          <cell r="C29">
            <v>1.4059999999999999E-3</v>
          </cell>
          <cell r="D29">
            <v>1.469E-3</v>
          </cell>
          <cell r="E29">
            <v>1.2290000000000001E-3</v>
          </cell>
          <cell r="F29">
            <v>1.2999999999999999E-3</v>
          </cell>
          <cell r="J29">
            <v>9.7999999999999997E-5</v>
          </cell>
          <cell r="M29">
            <v>1.8309999999999999E-3</v>
          </cell>
        </row>
        <row r="30">
          <cell r="A30">
            <v>24</v>
          </cell>
          <cell r="C30">
            <v>1.4059999999999999E-3</v>
          </cell>
          <cell r="D30">
            <v>2.8200000000000002E-4</v>
          </cell>
          <cell r="E30">
            <v>1.0900000000000001E-4</v>
          </cell>
          <cell r="F30">
            <v>6.5399999999999996E-4</v>
          </cell>
          <cell r="J30">
            <v>1.9999999999999999E-6</v>
          </cell>
          <cell r="M30">
            <v>6.8499999999999995E-4</v>
          </cell>
        </row>
        <row r="31">
          <cell r="A31">
            <v>36</v>
          </cell>
          <cell r="C31">
            <v>1.4059999999999999E-3</v>
          </cell>
          <cell r="D31">
            <v>5.3999999999999998E-5</v>
          </cell>
          <cell r="E31">
            <v>5.9900000000000003E-4</v>
          </cell>
          <cell r="F31">
            <v>5.0799999999999999E-4</v>
          </cell>
          <cell r="J31">
            <v>7.6000000000000004E-5</v>
          </cell>
          <cell r="M31">
            <v>1.3209999999999999E-3</v>
          </cell>
        </row>
        <row r="32">
          <cell r="A32">
            <v>25</v>
          </cell>
          <cell r="C32">
            <v>1.4059999999999999E-3</v>
          </cell>
          <cell r="E32">
            <v>3.0000000000000001E-3</v>
          </cell>
          <cell r="F32">
            <v>1.6000000000000001E-3</v>
          </cell>
          <cell r="J32">
            <v>6.0000000000000002E-6</v>
          </cell>
          <cell r="M32">
            <v>7.76E-4</v>
          </cell>
        </row>
        <row r="33">
          <cell r="A33">
            <v>26</v>
          </cell>
          <cell r="C33">
            <v>1.4059999999999999E-3</v>
          </cell>
          <cell r="D33">
            <v>1.2210000000000001E-3</v>
          </cell>
          <cell r="E33">
            <v>7.7499999999999997E-4</v>
          </cell>
          <cell r="F33">
            <v>8.61E-4</v>
          </cell>
          <cell r="J33">
            <v>1.2999999999999999E-5</v>
          </cell>
          <cell r="M33">
            <v>1.109E-3</v>
          </cell>
        </row>
        <row r="34">
          <cell r="A34">
            <v>27</v>
          </cell>
          <cell r="C34">
            <v>1.4059999999999999E-3</v>
          </cell>
          <cell r="D34">
            <v>1.9289999999999999E-3</v>
          </cell>
          <cell r="E34">
            <v>1.7420000000000001E-3</v>
          </cell>
          <cell r="F34">
            <v>1.1689999999999999E-3</v>
          </cell>
          <cell r="J34">
            <v>1.8E-5</v>
          </cell>
          <cell r="M34">
            <v>1.0640000000000001E-3</v>
          </cell>
        </row>
        <row r="35">
          <cell r="A35">
            <v>28</v>
          </cell>
          <cell r="C35">
            <v>1.4059999999999999E-3</v>
          </cell>
          <cell r="E35">
            <v>7.2099999999999996E-4</v>
          </cell>
          <cell r="F35">
            <v>5.0900000000000001E-4</v>
          </cell>
          <cell r="J35">
            <v>2.0000000000000002E-5</v>
          </cell>
          <cell r="M35">
            <v>1.1000000000000001E-3</v>
          </cell>
        </row>
        <row r="36">
          <cell r="A36">
            <v>29</v>
          </cell>
          <cell r="C36">
            <v>1.4059999999999999E-3</v>
          </cell>
          <cell r="D36">
            <v>8.9700000000000001E-4</v>
          </cell>
          <cell r="E36">
            <v>1.1230000000000001E-3</v>
          </cell>
          <cell r="F36">
            <v>1.7129999999999999E-3</v>
          </cell>
          <cell r="J36">
            <v>1.9999999999999999E-6</v>
          </cell>
          <cell r="M36">
            <v>1.0189999999999999E-3</v>
          </cell>
        </row>
        <row r="37">
          <cell r="A37">
            <v>30</v>
          </cell>
          <cell r="C37">
            <v>1.4059999999999999E-3</v>
          </cell>
          <cell r="D37">
            <v>1.8929999999999999E-3</v>
          </cell>
          <cell r="E37">
            <v>1.263E-3</v>
          </cell>
          <cell r="F37">
            <v>1.3290000000000001E-3</v>
          </cell>
          <cell r="J37">
            <v>7.4999999999999993E-5</v>
          </cell>
          <cell r="M37">
            <v>1.0759999999999999E-3</v>
          </cell>
        </row>
        <row r="38">
          <cell r="A38">
            <v>31</v>
          </cell>
          <cell r="C38">
            <v>1.4059999999999999E-3</v>
          </cell>
          <cell r="D38">
            <v>6.0499999999999996E-4</v>
          </cell>
          <cell r="E38">
            <v>1.439E-3</v>
          </cell>
          <cell r="J38">
            <v>9.6000000000000002E-5</v>
          </cell>
          <cell r="M38">
            <v>2.1870000000000001E-3</v>
          </cell>
        </row>
        <row r="39">
          <cell r="A39">
            <v>32</v>
          </cell>
          <cell r="C39">
            <v>1.4059999999999999E-3</v>
          </cell>
          <cell r="D39">
            <v>2.5099999999999998E-4</v>
          </cell>
          <cell r="E39">
            <v>1.9369999999999999E-3</v>
          </cell>
          <cell r="F39">
            <v>1.2080000000000001E-3</v>
          </cell>
          <cell r="J39">
            <v>3.4E-5</v>
          </cell>
          <cell r="M39">
            <v>1.555E-3</v>
          </cell>
        </row>
        <row r="40">
          <cell r="A40">
            <v>33</v>
          </cell>
          <cell r="C40">
            <v>1.4059999999999999E-3</v>
          </cell>
          <cell r="D40">
            <v>0</v>
          </cell>
          <cell r="E40">
            <v>1.9480000000000001E-3</v>
          </cell>
          <cell r="F40">
            <v>1.072E-3</v>
          </cell>
          <cell r="J40">
            <v>3.4E-5</v>
          </cell>
          <cell r="M40">
            <v>2.8800000000000001E-4</v>
          </cell>
        </row>
        <row r="41">
          <cell r="A41">
            <v>34</v>
          </cell>
          <cell r="C41">
            <v>1.4059999999999999E-3</v>
          </cell>
          <cell r="E41">
            <v>2.2499999999999998E-3</v>
          </cell>
          <cell r="F41">
            <v>7.6900000000000004E-4</v>
          </cell>
          <cell r="J41">
            <v>7.9999999999999996E-6</v>
          </cell>
          <cell r="M41">
            <v>3.2400000000000001E-4</v>
          </cell>
        </row>
        <row r="42">
          <cell r="A42">
            <v>35</v>
          </cell>
          <cell r="C42">
            <v>1.4059999999999999E-3</v>
          </cell>
          <cell r="D42">
            <v>1.1460000000000001E-3</v>
          </cell>
          <cell r="E42">
            <v>1.5200000000000001E-3</v>
          </cell>
          <cell r="F42">
            <v>7.6599999999999997E-4</v>
          </cell>
          <cell r="J42">
            <v>4.8999999999999998E-5</v>
          </cell>
          <cell r="M42">
            <v>6.7699999999999998E-4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0397AD-90A0-41FE-9D64-9D929A0CB3E7}" name="FY25_LE_Data245" displayName="FY25_LE_Data245" ref="A1:BY165" totalsRowCount="1" headerRowDxfId="2" dataDxfId="156" totalsRowDxfId="155">
  <autoFilter ref="A1:BY164" xr:uid="{173F30BB-571E-4CFF-8EB3-BB73223CE1AF}"/>
  <sortState xmlns:xlrd2="http://schemas.microsoft.com/office/spreadsheetml/2017/richdata2" ref="A2:BV164">
    <sortCondition ref="A1:A164"/>
  </sortState>
  <tableColumns count="77">
    <tableColumn id="1" xr3:uid="{2EAAB0CE-72DE-440A-A3AC-5FEFC2938375}" name="ID" dataDxfId="153" totalsRowDxfId="154"/>
    <tableColumn id="2" xr3:uid="{7D71B2F0-CA2F-4909-A56B-0EBB5DD333B3}" name="Phase" dataDxfId="151" totalsRowDxfId="152"/>
    <tableColumn id="3" xr3:uid="{A7EAF5DF-AB6A-44B1-A637-EFC6D8365BBA}" name="LEA Name" dataDxfId="149" totalsRowDxfId="150"/>
    <tableColumn id="4" xr3:uid="{D407CA44-9CF6-4EF5-AD4C-E228D8A91A21}" name="Type" dataDxfId="147" totalsRowDxfId="148"/>
    <tableColumn id="61" xr3:uid="{FC68161E-685B-40F7-9DB3-DE60F13850BA}" name="FY22ADM - SPED Resource" totalsRowFunction="sum" dataDxfId="145" totalsRowDxfId="146" dataCellStyle="Comma"/>
    <tableColumn id="62" xr3:uid="{E0590FB5-E7DC-41DD-AB7C-9AA6AF4D3DB9}" name="FY22ADM - SPED Self-Contained" totalsRowFunction="sum" dataDxfId="143" totalsRowDxfId="144" dataCellStyle="Comma"/>
    <tableColumn id="66" xr3:uid="{6DFD4152-3387-4F56-B41B-2DFA42424E79}" name="Oct 1, 2022 - K" totalsRowFunction="sum" dataDxfId="141" totalsRowDxfId="142" dataCellStyle="Comma"/>
    <tableColumn id="67" xr3:uid="{2729D276-7D20-4A5D-A040-8ACD4DE6F393}" name="Oct 1, 2022 - Grades 1-6" totalsRowFunction="sum" dataDxfId="139" totalsRowDxfId="140" dataCellStyle="Comma"/>
    <tableColumn id="68" xr3:uid="{D01C32E0-7819-4397-B16A-82BF082E84A5}" name="Oct 1, 2022 - Grades 7-8" totalsRowFunction="sum" dataDxfId="137" totalsRowDxfId="138" dataCellStyle="Comma"/>
    <tableColumn id="69" xr3:uid="{5411F498-36DB-44E2-B8D3-6A220EED39D8}" name="Oct 1, 2022 - Grades 9-12" totalsRowFunction="sum" dataDxfId="135" totalsRowDxfId="136" dataCellStyle="Comma"/>
    <tableColumn id="70" xr3:uid="{B9035E6B-BE33-4101-8143-1C665340F45F}" name="Oct 1, 2022 - Grades K-12" totalsRowFunction="sum" dataDxfId="133" totalsRowDxfId="134" dataCellStyle="Comma"/>
    <tableColumn id="71" xr3:uid="{BDE66D75-1012-48C0-90CE-7E857F424DEE}" name="Oct 1, 2022 - Grades 1-12" totalsRowFunction="sum" dataDxfId="131" totalsRowDxfId="132" dataCellStyle="Comma"/>
    <tableColumn id="72" xr3:uid="{A55546C9-BA14-4A29-85C3-A79FAF25B08A}" name="Oct 1, 2022 - Grades K-8" totalsRowFunction="sum" dataDxfId="129" totalsRowDxfId="130" dataCellStyle="Comma"/>
    <tableColumn id="74" xr3:uid="{0CE7C346-1466-4145-B7F7-009FAAB9CE9E}" name="Oct 1, 2022 - Self-Contained" totalsRowFunction="sum" dataDxfId="127" totalsRowDxfId="128" dataCellStyle="Comma"/>
    <tableColumn id="5" xr3:uid="{BF726731-5786-4DEF-BDA3-D7B33008DE79}" name="FY23 ADM - K" totalsRowFunction="sum" dataDxfId="125" totalsRowDxfId="126"/>
    <tableColumn id="6" xr3:uid="{F5C0181C-352E-441A-A7BA-701E5911C12D}" name="FY23 ADM - Grade 1" totalsRowFunction="sum" dataDxfId="123" totalsRowDxfId="124"/>
    <tableColumn id="7" xr3:uid="{B477E90B-41AA-4C92-8020-EBBDC75B891C}" name="FY23 ADM - Grade 2" totalsRowFunction="sum" dataDxfId="121" totalsRowDxfId="122"/>
    <tableColumn id="8" xr3:uid="{080FA43F-CE0C-4711-9999-1384D4D4588B}" name="FY23 ADM - Grade 3" totalsRowFunction="sum" dataDxfId="119" totalsRowDxfId="120"/>
    <tableColumn id="9" xr3:uid="{EEFA3BEA-D89F-4839-97C7-4B6177796ABA}" name="FY23 ADM - Grade 4" totalsRowFunction="sum" dataDxfId="117" totalsRowDxfId="118"/>
    <tableColumn id="10" xr3:uid="{11F550D0-FDE5-4712-9516-9E3401590DE5}" name="FY23 ADM - Grade 5" totalsRowFunction="sum" dataDxfId="115" totalsRowDxfId="116"/>
    <tableColumn id="11" xr3:uid="{D687F35E-0B2C-4C36-AE23-36B882971D0A}" name="FY23 ADM - Grade 6" totalsRowFunction="sum" dataDxfId="113" totalsRowDxfId="114"/>
    <tableColumn id="12" xr3:uid="{A0BD7A1D-FCF4-44E0-AC9C-8A89A1AD06FB}" name="FY23 ADM - Grade 7" totalsRowFunction="sum" dataDxfId="111" totalsRowDxfId="112"/>
    <tableColumn id="13" xr3:uid="{DA8A68F3-1921-4051-9451-B6CA373BF299}" name="FY23 ADM - Grade 8" totalsRowFunction="sum" dataDxfId="109" totalsRowDxfId="110"/>
    <tableColumn id="14" xr3:uid="{D8896538-7601-467E-8298-B2B8F82F1782}" name="FY23 ADM - Grade 9" totalsRowFunction="sum" dataDxfId="107" totalsRowDxfId="108"/>
    <tableColumn id="15" xr3:uid="{6E76DC84-F935-40B2-A0C5-BD91C0007C9F}" name="FY23 ADM - Grade 10" totalsRowFunction="sum" dataDxfId="105" totalsRowDxfId="106"/>
    <tableColumn id="16" xr3:uid="{33BB9EC7-5B64-4BA3-9AAD-9B20AD555589}" name="FY23 ADM - Grade 11" totalsRowFunction="sum" dataDxfId="103" totalsRowDxfId="104"/>
    <tableColumn id="17" xr3:uid="{3804A64D-FF56-4C55-B976-2EDF7AD717F1}" name="FY23 ADM - Grade 12" totalsRowFunction="sum" dataDxfId="101" totalsRowDxfId="102"/>
    <tableColumn id="31" xr3:uid="{25C56D68-6FE4-47D4-9677-5B14968C2099}" name="FY23 ADM - Grades 1-6" totalsRowFunction="sum" dataDxfId="99" totalsRowDxfId="100"/>
    <tableColumn id="32" xr3:uid="{FE5DBE4B-E9EB-47F4-A354-921666B3970F}" name="FY23 ADM - Grades 7-8" totalsRowFunction="sum" dataDxfId="97" totalsRowDxfId="98"/>
    <tableColumn id="33" xr3:uid="{36400CF9-E75A-432D-BAE1-85ACAAC17FFE}" name="FY23 ADM - Grades 9-12" totalsRowFunction="sum" totalsRowDxfId="96"/>
    <tableColumn id="42" xr3:uid="{C856B180-36E9-402A-8024-791F7965DD6B}" name="FY23 ADM - Grades K-8" totalsRowFunction="sum" dataDxfId="94" totalsRowDxfId="95"/>
    <tableColumn id="44" xr3:uid="{FD07D16F-C776-4AB0-8EB7-DA1C2E435355}" name="FY23 ADM - Grades 1-12" totalsRowFunction="sum" dataDxfId="92" totalsRowDxfId="93"/>
    <tableColumn id="45" xr3:uid="{2638710E-0583-473F-857F-2790A5D57824}" name="FY23 ADM - Grades K-12" totalsRowFunction="sum" dataDxfId="90" totalsRowDxfId="91"/>
    <tableColumn id="35" xr3:uid="{B6527BD0-37AE-4E11-8305-F990EB4B0D4F}" name="FY23ADM - SPED Resource" totalsRowFunction="sum" dataDxfId="88" totalsRowDxfId="89" dataCellStyle="Comma"/>
    <tableColumn id="36" xr3:uid="{2781837B-A45D-4793-BA84-B6B80D48324A}" name="FY23ADM - SPED Self-Contained" totalsRowFunction="sum" dataDxfId="86" totalsRowDxfId="87" dataCellStyle="Comma"/>
    <tableColumn id="64" xr3:uid="{A80360D5-04C8-431E-9A39-991058C46328}" name="FY23ADM - Total SPED" totalsRowFunction="sum" dataDxfId="84" totalsRowDxfId="85" dataCellStyle="Comma"/>
    <tableColumn id="18" xr3:uid="{CD769DCA-5D10-4954-A0C3-BD784000997A}" name="Oct. 1, 2023 - K" totalsRowFunction="sum" totalsRowDxfId="83" dataCellStyle="Comma"/>
    <tableColumn id="19" xr3:uid="{E3874D10-5618-4D0D-886E-E6FEF84DBED8}" name="Oct. 1, 2023 - Grade 1" totalsRowFunction="sum" dataDxfId="81" totalsRowDxfId="82"/>
    <tableColumn id="20" xr3:uid="{8694051A-B1B6-4968-94B6-A4402EDC1355}" name="Oct. 1, 2023 - Grade 2" totalsRowFunction="sum" dataDxfId="79" totalsRowDxfId="80"/>
    <tableColumn id="21" xr3:uid="{C0209A6D-CC5F-40D8-AE8B-3719198AEDC4}" name="Oct. 1, 2023 - Grade 3" totalsRowFunction="sum" dataDxfId="77" totalsRowDxfId="78"/>
    <tableColumn id="22" xr3:uid="{881BD282-7EEC-4EEB-8DED-D2B6E2E41222}" name="Oct. 1, 2023 - Grade 4" totalsRowFunction="sum" dataDxfId="75" totalsRowDxfId="76"/>
    <tableColumn id="23" xr3:uid="{D4138C33-8811-411E-863E-E35F88151DCC}" name="Oct. 1, 2023 - Grade 5" totalsRowFunction="sum" dataDxfId="73" totalsRowDxfId="74"/>
    <tableColumn id="24" xr3:uid="{016B6D14-6335-465B-9A77-3406A67201CC}" name="Oct. 1, 2023 - Grade 6" totalsRowFunction="sum" dataDxfId="71" totalsRowDxfId="72"/>
    <tableColumn id="25" xr3:uid="{98C9B2CF-9695-43A8-8204-97A4CA2B1A78}" name="Oct. 1, 2023 - Grade 7" totalsRowFunction="sum" dataDxfId="69" totalsRowDxfId="70"/>
    <tableColumn id="26" xr3:uid="{4BF90CAF-507F-46B9-8F6B-9D2C81104C9F}" name="Oct. 1, 2023 - Grade 8" totalsRowFunction="sum" dataDxfId="67" totalsRowDxfId="68"/>
    <tableColumn id="27" xr3:uid="{EE0DD8CF-76BD-496C-AC7B-F3D7CAE96162}" name="Oct. 1, 2023 - Grade 9" totalsRowFunction="sum" dataDxfId="65" totalsRowDxfId="66"/>
    <tableColumn id="28" xr3:uid="{DA3DFA65-1A5F-40E4-8BDC-F30A9FE5DAE7}" name="Oct. 1, 2023 - Grade 10" totalsRowFunction="sum" dataDxfId="63" totalsRowDxfId="64"/>
    <tableColumn id="29" xr3:uid="{D1C10518-3437-4C3D-B030-1CC1A997D29F}" name="Oct. 1, 2023 - Grade 11" totalsRowFunction="sum" dataDxfId="61" totalsRowDxfId="62"/>
    <tableColumn id="30" xr3:uid="{8C2F4129-77BE-40EC-A634-9945381AEFFE}" name="Oct. 1, 2023 - Grade 12" totalsRowFunction="sum" dataDxfId="59" totalsRowDxfId="60"/>
    <tableColumn id="37" xr3:uid="{5CD1C1E2-9048-4F87-9EEE-BC244F852791}" name="Oct. 1, 2023 - Grades 1-6" totalsRowFunction="sum" dataDxfId="57" totalsRowDxfId="58"/>
    <tableColumn id="39" xr3:uid="{A73E7F48-FF21-4B96-B2CF-02F7AF66C540}" name="Oct. 1, 2023 - Grades 7-8" totalsRowFunction="sum" dataDxfId="55" totalsRowDxfId="56"/>
    <tableColumn id="40" xr3:uid="{F7E5E216-FF6E-4258-84F6-881AED6DE7F5}" name="Oct. 1, 2023 - Grades 9-12" totalsRowFunction="sum" dataDxfId="53" totalsRowDxfId="54"/>
    <tableColumn id="46" xr3:uid="{CF4F3F53-8C2B-4F12-A83F-B212C9EE36DF}" name="Oct. 1, 2023 - Grades K-8" totalsRowFunction="sum" dataDxfId="51" totalsRowDxfId="52"/>
    <tableColumn id="47" xr3:uid="{364172C2-EC42-4305-B3C2-F1041CEED200}" name="Oct. 1, 2023 - Grades 1-12" totalsRowFunction="sum" dataDxfId="49" totalsRowDxfId="50"/>
    <tableColumn id="48" xr3:uid="{F4C785A5-8D13-48D3-A8A2-F656A543362E}" name="Oct. 1, 2023 - Grades K-12" totalsRowFunction="sum" dataDxfId="47" totalsRowDxfId="48"/>
    <tableColumn id="63" xr3:uid="{0E32D849-9FB8-4BD9-91A7-5AA27894059C}" name="Oct. 1, 2023 - FDK Counts" totalsRowFunction="sum" dataDxfId="45" totalsRowDxfId="46"/>
    <tableColumn id="73" xr3:uid="{D5BB8B14-8307-43E6-A005-63136C1FD1E2}" name="Oct. 1, 2023 - HDK Counts" totalsRowFunction="sum" dataDxfId="43" totalsRowDxfId="44"/>
    <tableColumn id="58" xr3:uid="{5B103D2E-37FE-4165-9677-269D0B2026ED}" name="Oct. 1, 2023 - Foreign Exchange" totalsRowFunction="sum" dataDxfId="41" totalsRowDxfId="42"/>
    <tableColumn id="59" xr3:uid="{C79C549A-3FD3-4A28-A391-0304875EC89D}" name="Oct. 1, 2023 - Econ. Disadv." totalsRowFunction="sum" dataDxfId="39" totalsRowDxfId="40"/>
    <tableColumn id="60" xr3:uid="{CA861B96-4462-4948-BCFF-DAA8EAAF46C8}" name="Oct. 1, 2023 - SPED Resource" totalsRowFunction="sum" dataDxfId="37" totalsRowDxfId="38"/>
    <tableColumn id="34" xr3:uid="{B618E8D5-EC56-4FBA-B656-9C86AED5A3AB}" name="Oct. 1, 2023 - SPED Self-Contained" totalsRowFunction="sum" dataDxfId="35" totalsRowDxfId="36" dataCellStyle="Comma"/>
    <tableColumn id="38" xr3:uid="{98B55BC3-C863-4F01-B7BA-E076E805BBBF}" name="Oct. 1, 2023 - Total SPED" totalsRowFunction="sum" dataDxfId="33" totalsRowDxfId="34" dataCellStyle="Comma"/>
    <tableColumn id="65" xr3:uid="{7E042B9E-75CC-49BB-A8CC-FE40DCA833E3}" name="Oct. 1, 2023 - LEP" totalsRowFunction="sum" dataDxfId="31" totalsRowDxfId="32" dataCellStyle="Comma"/>
    <tableColumn id="43" xr3:uid="{D7F0A90C-0A91-4A40-9755-AE69FEFE4C97}" name="Oct 1, 2024 (CDC) - K" totalsRowFunction="sum" dataDxfId="29" totalsRowDxfId="30" dataCellStyle="Comma"/>
    <tableColumn id="53" xr3:uid="{7412224F-D0AD-4502-B488-6CE6C5A5655B}" name="Oct 1, 2024 (CDC) - Grades 1-12" totalsRowFunction="sum" dataDxfId="27" totalsRowDxfId="28" dataCellStyle="Comma"/>
    <tableColumn id="54" xr3:uid="{1E041942-CA4D-4611-B0B8-3C6C41449C37}" name="Oct 1, 2024 (CDC) - Grades 1-6" totalsRowFunction="sum" dataDxfId="25" totalsRowDxfId="26" dataCellStyle="Comma"/>
    <tableColumn id="55" xr3:uid="{FB72AA0B-56AD-4858-ABBF-4AB8B20B755F}" name="Oct 1, 2024 (CDC) - Grades 7-8" totalsRowFunction="sum" dataDxfId="23" totalsRowDxfId="24" dataCellStyle="Comma"/>
    <tableColumn id="56" xr3:uid="{4D79B11F-A9E9-4376-892E-35D64D570CCD}" name="Oct 1, 2024 (CDC) - Grades 9-12" totalsRowFunction="sum" dataDxfId="21" totalsRowDxfId="22" dataCellStyle="Comma"/>
    <tableColumn id="57" xr3:uid="{6DBBC994-2C6C-4A40-82A2-C0C44477631C}" name="Oct 1, 2024 (CDC) - Grades K-12" totalsRowFunction="sum" dataDxfId="19" totalsRowDxfId="20" dataCellStyle="Comma"/>
    <tableColumn id="41" xr3:uid="{8AB3FD50-1DCA-41F6-8B8E-C7B67B7701F9}" name="Prostaff Ratios" totalsRowFunction="sum" dataDxfId="17" totalsRowDxfId="18" dataCellStyle="Comma"/>
    <tableColumn id="49" xr3:uid="{C6802AB7-F7FB-42C2-9FC6-934D5A11702C}" name="ESA - All" totalsRowFunction="sum" dataDxfId="15" totalsRowDxfId="16" dataCellStyle="Comma"/>
    <tableColumn id="50" xr3:uid="{AA84AC78-713E-4E64-A63E-199F713ACCB8}" name="ESA - Educators Only" totalsRowFunction="sum" dataDxfId="13" totalsRowDxfId="14" dataCellStyle="Comma"/>
    <tableColumn id="51" xr3:uid="{D753EA11-AFBC-4915-9B4A-23531275FED2}" name="TSM FTE" totalsRowFunction="sum" dataDxfId="11" totalsRowDxfId="12" dataCellStyle="Comma"/>
    <tableColumn id="52" xr3:uid="{342F2B71-205B-40AB-9FE2-C11CC8DD8B32}" name="Educ. Prof. Hrs. FTE" totalsRowFunction="sum" dataDxfId="9" totalsRowDxfId="10" dataCellStyle="Comma"/>
    <tableColumn id="75" xr3:uid="{D01B2868-1826-4547-903A-1866139542DB}" name="Oct 1 2020 Counts - Online Students &gt;180 Days " totalsRowFunction="sum" dataDxfId="7" totalsRowDxfId="8" dataCellStyle="Comma"/>
    <tableColumn id="76" xr3:uid="{3604D725-0DB4-4C0B-B567-23F447100B6A}" name="Oct 1 2023 Counts - Online Students &gt;180 Days in FY2023/Still Online on Oct 1" totalsRowFunction="sum" dataDxfId="5" totalsRowDxfId="6" dataCellStyle="Comma"/>
    <tableColumn id="77" xr3:uid="{00538858-77BE-49FB-9AFD-A953AED265DF}" name="FY23 ADM - Online Students &gt;180 Days " totalsRowFunction="sum" dataDxfId="3" totalsRowDxfId="4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chools.utah.gov/file/36d7b78f-4db0-448f-95b4-7f066833f99c" TargetMode="External"/><Relationship Id="rId1" Type="http://schemas.openxmlformats.org/officeDocument/2006/relationships/hyperlink" Target="https://le.utah.gov/xcode/Title53G/Chapter6/53G-6-S405.html?v=C53G-6-S405_2019051420190514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topLeftCell="A4" zoomScale="130" zoomScaleNormal="130" workbookViewId="0">
      <selection activeCell="B25" sqref="B25"/>
    </sheetView>
  </sheetViews>
  <sheetFormatPr defaultColWidth="9.15234375" defaultRowHeight="12.45"/>
  <cols>
    <col min="1" max="1" width="9.15234375" style="2"/>
    <col min="2" max="2" width="41.4609375" style="2" customWidth="1"/>
    <col min="3" max="3" width="0" style="2" hidden="1" customWidth="1"/>
    <col min="4" max="4" width="9.15234375" style="2"/>
    <col min="5" max="5" width="15.69140625" style="2" customWidth="1"/>
    <col min="6" max="6" width="16.4609375" style="2" customWidth="1"/>
    <col min="7" max="16384" width="9.15234375" style="2"/>
  </cols>
  <sheetData>
    <row r="1" spans="1:5">
      <c r="A1" s="8" t="s">
        <v>142</v>
      </c>
      <c r="B1" s="8"/>
      <c r="C1" s="4"/>
      <c r="D1" s="4"/>
      <c r="E1" s="4"/>
    </row>
    <row r="2" spans="1:5">
      <c r="A2" s="8" t="s">
        <v>110</v>
      </c>
      <c r="B2" s="8"/>
      <c r="C2" s="8"/>
      <c r="D2" s="8"/>
      <c r="E2" s="8"/>
    </row>
    <row r="3" spans="1:5">
      <c r="A3" s="8" t="s">
        <v>132</v>
      </c>
      <c r="B3" s="8"/>
      <c r="C3" s="4"/>
      <c r="D3" s="4"/>
      <c r="E3" s="4"/>
    </row>
    <row r="4" spans="1:5">
      <c r="A4" s="8" t="s">
        <v>0</v>
      </c>
      <c r="B4" s="8"/>
      <c r="C4" s="4"/>
      <c r="D4" s="4"/>
      <c r="E4" s="4"/>
    </row>
    <row r="5" spans="1:5">
      <c r="A5" s="1" t="s">
        <v>731</v>
      </c>
      <c r="B5" s="8"/>
      <c r="C5" s="4"/>
      <c r="D5" s="4"/>
      <c r="E5" s="4"/>
    </row>
    <row r="6" spans="1:5">
      <c r="A6" s="1"/>
      <c r="B6" s="8"/>
      <c r="C6" s="4"/>
      <c r="D6" s="4"/>
      <c r="E6" s="4"/>
    </row>
    <row r="7" spans="1:5">
      <c r="A7" s="14"/>
      <c r="B7" s="30" t="s">
        <v>215</v>
      </c>
      <c r="C7" s="30"/>
      <c r="D7" s="30"/>
      <c r="E7" s="7" t="s">
        <v>43</v>
      </c>
    </row>
    <row r="8" spans="1:5" ht="12.75" customHeight="1">
      <c r="A8" s="6"/>
      <c r="B8" s="6"/>
      <c r="C8" s="28" t="s">
        <v>2</v>
      </c>
      <c r="D8" s="6"/>
      <c r="E8" s="6"/>
    </row>
    <row r="9" spans="1:5" ht="12.9" thickBot="1">
      <c r="A9" s="15" t="s">
        <v>1</v>
      </c>
      <c r="B9" s="16"/>
      <c r="C9" s="29"/>
      <c r="D9" s="16"/>
      <c r="E9" s="15" t="s">
        <v>96</v>
      </c>
    </row>
    <row r="11" spans="1:5">
      <c r="A11" s="17" t="s">
        <v>9</v>
      </c>
      <c r="B11" s="17"/>
      <c r="C11" s="6"/>
      <c r="D11" s="6"/>
      <c r="E11" s="6"/>
    </row>
    <row r="12" spans="1:5">
      <c r="A12" s="6" t="s">
        <v>3</v>
      </c>
      <c r="B12" s="6"/>
      <c r="C12" s="18" t="e">
        <f>VLOOKUP(Districtname,Data,3)</f>
        <v>#REF!</v>
      </c>
      <c r="D12" s="6"/>
      <c r="E12" s="12">
        <f>VLOOKUP(Districtname,Data24,2,FALSE)</f>
        <v>739372453</v>
      </c>
    </row>
    <row r="13" spans="1:5">
      <c r="A13" s="6" t="s">
        <v>100</v>
      </c>
      <c r="B13" s="6"/>
      <c r="C13" s="18" t="e">
        <f>VLOOKUP(Districtname,Data,3)</f>
        <v>#REF!</v>
      </c>
      <c r="D13" s="6"/>
      <c r="E13" s="12">
        <f>VLOOKUP(Districtname,Data24,3,FALSE)</f>
        <v>75277841</v>
      </c>
    </row>
    <row r="14" spans="1:5">
      <c r="A14" s="6" t="s">
        <v>4</v>
      </c>
      <c r="B14" s="6"/>
      <c r="C14" s="18" t="e">
        <f>VLOOKUP(Districtname,Data,10)</f>
        <v>#REF!</v>
      </c>
      <c r="D14" s="6"/>
      <c r="E14" s="12">
        <f>VLOOKUP(Districtname,Data24,6,FALSE)*-1</f>
        <v>-4274789</v>
      </c>
    </row>
    <row r="15" spans="1:5">
      <c r="A15" s="6" t="s">
        <v>5</v>
      </c>
      <c r="B15" s="6"/>
      <c r="C15" s="18" t="e">
        <f>VLOOKUP(Districtname,Data,10)</f>
        <v>#REF!</v>
      </c>
      <c r="D15" s="6"/>
      <c r="E15" s="12">
        <f>VLOOKUP(Districtname,Data24,7,FALSE)*-1</f>
        <v>-18356053</v>
      </c>
    </row>
    <row r="16" spans="1:5">
      <c r="A16" s="6" t="s">
        <v>6</v>
      </c>
      <c r="B16" s="6"/>
      <c r="C16" s="18" t="e">
        <f>VLOOKUP(Districtname,Data,10)</f>
        <v>#REF!</v>
      </c>
      <c r="D16" s="6"/>
      <c r="E16" s="12">
        <f>VLOOKUP(Districtname,Data24,8,FALSE)*-1</f>
        <v>-27928530</v>
      </c>
    </row>
    <row r="17" spans="1:5" ht="12.9" thickBot="1">
      <c r="A17" s="6" t="s">
        <v>7</v>
      </c>
      <c r="B17" s="7" t="s">
        <v>15</v>
      </c>
      <c r="C17" s="19"/>
      <c r="D17" s="6"/>
      <c r="E17" s="20">
        <f>+E12+E13+E14+E15+E16</f>
        <v>764090922</v>
      </c>
    </row>
    <row r="18" spans="1:5" ht="12.9" thickTop="1">
      <c r="A18" s="6"/>
      <c r="B18" s="6"/>
      <c r="C18" s="19"/>
      <c r="D18" s="6"/>
      <c r="E18" s="6"/>
    </row>
    <row r="19" spans="1:5">
      <c r="A19" s="17" t="s">
        <v>8</v>
      </c>
      <c r="B19" s="6"/>
      <c r="C19" s="19"/>
      <c r="D19" s="6"/>
      <c r="E19" s="6"/>
    </row>
    <row r="20" spans="1:5">
      <c r="A20" s="6" t="s">
        <v>212</v>
      </c>
      <c r="B20" s="6"/>
      <c r="C20" s="21"/>
      <c r="D20" s="6"/>
      <c r="E20" s="12">
        <f>VLOOKUP(Districtname,Data24,12,FALSE)</f>
        <v>72091237.414519906</v>
      </c>
    </row>
    <row r="21" spans="1:5">
      <c r="A21" s="6" t="s">
        <v>10</v>
      </c>
      <c r="B21" s="6"/>
      <c r="C21" s="18" t="e">
        <f>VLOOKUP(Districtname,Data,3)</f>
        <v>#REF!</v>
      </c>
      <c r="D21" s="6"/>
      <c r="E21" s="12">
        <f>VLOOKUP(Districtname,Data24,13,FALSE)</f>
        <v>490443439</v>
      </c>
    </row>
    <row r="22" spans="1:5">
      <c r="A22" s="6" t="s">
        <v>11</v>
      </c>
      <c r="B22" s="6"/>
      <c r="C22" s="18" t="e">
        <f>VLOOKUP(Districtname,Data,3)</f>
        <v>#REF!</v>
      </c>
      <c r="D22" s="6"/>
      <c r="E22" s="12">
        <f>VLOOKUP(Districtname,Data24,14,FALSE)</f>
        <v>68666656</v>
      </c>
    </row>
    <row r="23" spans="1:5">
      <c r="A23" s="6" t="s">
        <v>12</v>
      </c>
      <c r="B23" s="6"/>
      <c r="C23" s="18" t="e">
        <f>VLOOKUP(Districtname,Data,3)</f>
        <v>#REF!</v>
      </c>
      <c r="D23" s="6"/>
      <c r="E23" s="12">
        <f>VLOOKUP(Districtname,Data24,15,FALSE)</f>
        <v>10013777</v>
      </c>
    </row>
    <row r="24" spans="1:5">
      <c r="A24" s="6" t="s">
        <v>13</v>
      </c>
      <c r="B24" s="6"/>
      <c r="C24" s="18" t="e">
        <f>VLOOKUP(Districtname,Data,3)</f>
        <v>#REF!</v>
      </c>
      <c r="D24" s="6"/>
      <c r="E24" s="12">
        <f>VLOOKUP(Districtname,Data24,16,FALSE)</f>
        <v>2927861</v>
      </c>
    </row>
    <row r="25" spans="1:5" ht="12.9" thickBot="1">
      <c r="A25" s="6" t="s">
        <v>14</v>
      </c>
      <c r="B25" s="7" t="s">
        <v>16</v>
      </c>
      <c r="C25" s="6"/>
      <c r="D25" s="6"/>
      <c r="E25" s="20">
        <f>+E20+E21+E22+E23+E24</f>
        <v>644142970.41451991</v>
      </c>
    </row>
    <row r="26" spans="1:5" ht="12.9" thickTop="1">
      <c r="A26" s="6"/>
      <c r="B26" s="6"/>
      <c r="C26" s="6"/>
      <c r="D26" s="6"/>
      <c r="E26" s="11"/>
    </row>
    <row r="27" spans="1:5">
      <c r="A27" s="6" t="s">
        <v>17</v>
      </c>
      <c r="B27" s="7" t="s">
        <v>24</v>
      </c>
      <c r="C27" s="6"/>
      <c r="D27" s="6"/>
      <c r="E27" s="12">
        <f>-E25+E17</f>
        <v>119947951.58548009</v>
      </c>
    </row>
    <row r="28" spans="1:5">
      <c r="A28" s="6"/>
      <c r="B28" s="6"/>
      <c r="C28" s="6"/>
      <c r="D28" s="6"/>
      <c r="E28" s="11"/>
    </row>
    <row r="29" spans="1:5">
      <c r="A29" s="6" t="s">
        <v>18</v>
      </c>
      <c r="B29" s="6" t="s">
        <v>211</v>
      </c>
      <c r="C29" s="6"/>
      <c r="D29" s="6"/>
      <c r="E29" s="12">
        <f>VLOOKUP(Districtname,Data24,19,FALSE)</f>
        <v>83786.861111111109</v>
      </c>
    </row>
    <row r="30" spans="1:5">
      <c r="A30" s="6"/>
      <c r="B30" s="6"/>
      <c r="C30" s="6"/>
      <c r="D30" s="6"/>
      <c r="E30" s="6"/>
    </row>
    <row r="31" spans="1:5">
      <c r="A31" s="6" t="s">
        <v>19</v>
      </c>
      <c r="B31" s="7" t="s">
        <v>21</v>
      </c>
      <c r="C31" s="6"/>
      <c r="D31" s="6"/>
      <c r="E31" s="13">
        <f>IF(E29=0,0,ROUND(E27/E29,2))</f>
        <v>1431.58</v>
      </c>
    </row>
    <row r="32" spans="1:5">
      <c r="A32" s="6"/>
      <c r="B32" s="6"/>
      <c r="C32" s="6"/>
      <c r="D32" s="6"/>
      <c r="E32" s="6"/>
    </row>
    <row r="33" spans="1:5">
      <c r="A33" s="6" t="s">
        <v>20</v>
      </c>
      <c r="B33" s="7" t="s">
        <v>90</v>
      </c>
      <c r="C33" s="6"/>
      <c r="D33" s="6"/>
      <c r="E33" s="13">
        <f>IF(E31&gt;0,ROUND(E31*0.5,2),0)</f>
        <v>715.79</v>
      </c>
    </row>
    <row r="34" spans="1:5">
      <c r="A34" s="6"/>
      <c r="B34" s="6"/>
      <c r="C34" s="6"/>
      <c r="D34" s="6"/>
      <c r="E34" s="6"/>
    </row>
    <row r="35" spans="1:5">
      <c r="A35" s="6" t="s">
        <v>23</v>
      </c>
      <c r="B35" s="6" t="s">
        <v>126</v>
      </c>
      <c r="C35" s="6"/>
      <c r="D35" s="6"/>
      <c r="E35" s="13">
        <v>0</v>
      </c>
    </row>
    <row r="36" spans="1:5">
      <c r="A36" s="6"/>
      <c r="B36" s="6"/>
      <c r="C36" s="6"/>
      <c r="D36" s="6"/>
      <c r="E36" s="6"/>
    </row>
    <row r="37" spans="1:5" ht="12.9" thickBot="1">
      <c r="A37" s="6" t="s">
        <v>22</v>
      </c>
      <c r="B37" s="7" t="s">
        <v>210</v>
      </c>
      <c r="C37" s="6"/>
      <c r="D37" s="6"/>
      <c r="E37" s="22" t="str">
        <f>IF(E35=0,"",ROUND(E33*E35,2))</f>
        <v/>
      </c>
    </row>
    <row r="38" spans="1:5" ht="12.9" thickTop="1">
      <c r="A38" s="6"/>
    </row>
    <row r="39" spans="1:5">
      <c r="A39" s="6" t="s">
        <v>25</v>
      </c>
    </row>
    <row r="40" spans="1:5">
      <c r="A40" s="6" t="s">
        <v>216</v>
      </c>
    </row>
    <row r="41" spans="1:5">
      <c r="A41" s="6" t="s">
        <v>217</v>
      </c>
    </row>
    <row r="42" spans="1:5">
      <c r="A42" s="6"/>
    </row>
    <row r="43" spans="1:5">
      <c r="A43" s="6" t="s">
        <v>125</v>
      </c>
    </row>
    <row r="44" spans="1:5">
      <c r="A44" s="6" t="s">
        <v>214</v>
      </c>
    </row>
    <row r="46" spans="1:5" ht="15.45">
      <c r="A46" s="23" t="s">
        <v>213</v>
      </c>
    </row>
    <row r="47" spans="1:5">
      <c r="A47" s="24" t="s">
        <v>141</v>
      </c>
    </row>
    <row r="48" spans="1:5">
      <c r="A48" s="24" t="s">
        <v>111</v>
      </c>
    </row>
  </sheetData>
  <mergeCells count="2">
    <mergeCell ref="C8:C9"/>
    <mergeCell ref="B7:D7"/>
  </mergeCells>
  <phoneticPr fontId="0" type="noConversion"/>
  <hyperlinks>
    <hyperlink ref="A47" r:id="rId1" xr:uid="{D9486B37-5C8B-4D54-98BF-1FA061274B99}"/>
    <hyperlink ref="A48" r:id="rId2" xr:uid="{A36F0F9B-80DD-44CD-B613-6543A10A171C}"/>
  </hyperlinks>
  <pageMargins left="0.75" right="0.75" top="1" bottom="1" header="0.5" footer="0.5"/>
  <pageSetup scale="90" orientation="portrait" horizontalDpi="300" verticalDpi="300" r:id="rId3"/>
  <headerFooter alignWithMargins="0">
    <oddFooter>&amp;L&amp;8&amp;D&amp;R&amp;8I:\Data\Excel\Cathy\&amp;F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6"/>
  <sheetViews>
    <sheetView tabSelected="1" workbookViewId="0">
      <selection activeCell="G9" sqref="G9"/>
    </sheetView>
  </sheetViews>
  <sheetFormatPr defaultColWidth="9.15234375" defaultRowHeight="12.45"/>
  <cols>
    <col min="1" max="1" width="17.23046875" style="2" customWidth="1"/>
    <col min="2" max="2" width="14.69140625" style="2" customWidth="1"/>
    <col min="3" max="3" width="13.84375" style="2" customWidth="1"/>
    <col min="4" max="4" width="12.23046875" style="2" customWidth="1"/>
    <col min="5" max="16384" width="9.15234375" style="2"/>
  </cols>
  <sheetData>
    <row r="1" spans="1:8">
      <c r="A1" s="1" t="s">
        <v>142</v>
      </c>
      <c r="B1" s="4"/>
      <c r="C1" s="4"/>
      <c r="D1" s="4"/>
    </row>
    <row r="2" spans="1:8">
      <c r="A2" s="1" t="s">
        <v>110</v>
      </c>
      <c r="B2" s="4"/>
      <c r="C2" s="4"/>
      <c r="D2" s="4"/>
    </row>
    <row r="3" spans="1:8">
      <c r="A3" s="1" t="s">
        <v>86</v>
      </c>
      <c r="B3" s="4"/>
      <c r="C3" s="4"/>
      <c r="D3" s="4"/>
    </row>
    <row r="4" spans="1:8">
      <c r="A4" s="1" t="s">
        <v>730</v>
      </c>
      <c r="B4" s="4"/>
      <c r="C4" s="4"/>
      <c r="D4" s="4"/>
    </row>
    <row r="6" spans="1:8">
      <c r="A6" s="6"/>
      <c r="B6" s="5" t="s">
        <v>83</v>
      </c>
      <c r="C6" s="5" t="s">
        <v>89</v>
      </c>
      <c r="D6" s="3"/>
    </row>
    <row r="7" spans="1:8">
      <c r="A7" s="159" t="s">
        <v>87</v>
      </c>
      <c r="B7" s="159" t="s">
        <v>88</v>
      </c>
      <c r="C7" s="159" t="s">
        <v>85</v>
      </c>
      <c r="D7" s="159" t="s">
        <v>84</v>
      </c>
    </row>
    <row r="8" spans="1:8">
      <c r="A8" s="160" t="s">
        <v>43</v>
      </c>
      <c r="B8" s="161">
        <f>INDEX(AFRAPR!$W$5:$W$45,MATCH('Summary Sheet'!A8,AFRAPR!$C$5:$C$45,0))</f>
        <v>715.79</v>
      </c>
      <c r="C8" s="160"/>
      <c r="D8" s="162">
        <f>+B8*C8</f>
        <v>0</v>
      </c>
      <c r="F8" s="25"/>
      <c r="G8" s="25"/>
      <c r="H8" s="26"/>
    </row>
    <row r="9" spans="1:8">
      <c r="A9" s="160" t="s">
        <v>44</v>
      </c>
      <c r="B9" s="161">
        <f>INDEX(AFRAPR!$W$5:$W$45,MATCH('Summary Sheet'!A9,AFRAPR!$C$5:$C$45,0))</f>
        <v>1501.58</v>
      </c>
      <c r="C9" s="160"/>
      <c r="D9" s="162">
        <f t="shared" ref="D9:D48" si="0">+B9*C9</f>
        <v>0</v>
      </c>
      <c r="F9" s="25"/>
      <c r="G9" s="25"/>
      <c r="H9" s="26"/>
    </row>
    <row r="10" spans="1:8">
      <c r="A10" s="160" t="s">
        <v>45</v>
      </c>
      <c r="B10" s="161">
        <f>INDEX(AFRAPR!$W$5:$W$45,MATCH('Summary Sheet'!A10,AFRAPR!$C$5:$C$45,0))</f>
        <v>1333.38</v>
      </c>
      <c r="C10" s="160"/>
      <c r="D10" s="162">
        <f t="shared" si="0"/>
        <v>0</v>
      </c>
      <c r="F10" s="25"/>
      <c r="G10" s="25"/>
      <c r="H10" s="26"/>
    </row>
    <row r="11" spans="1:8" ht="13" customHeight="1">
      <c r="A11" s="160" t="s">
        <v>46</v>
      </c>
      <c r="B11" s="161">
        <f>INDEX(AFRAPR!$W$5:$W$45,MATCH('Summary Sheet'!A11,AFRAPR!$C$5:$C$45,0))</f>
        <v>529.55999999999995</v>
      </c>
      <c r="C11" s="160"/>
      <c r="D11" s="162">
        <f t="shared" si="0"/>
        <v>0</v>
      </c>
      <c r="F11" s="25"/>
      <c r="G11" s="25"/>
      <c r="H11" s="26"/>
    </row>
    <row r="12" spans="1:8">
      <c r="A12" s="160" t="s">
        <v>47</v>
      </c>
      <c r="B12" s="161">
        <f>INDEX(AFRAPR!$W$5:$W$45,MATCH('Summary Sheet'!A12,AFRAPR!$C$5:$C$45,0))</f>
        <v>2317.17</v>
      </c>
      <c r="C12" s="160"/>
      <c r="D12" s="162">
        <f t="shared" si="0"/>
        <v>0</v>
      </c>
      <c r="F12" s="25"/>
      <c r="G12" s="25"/>
      <c r="H12" s="26"/>
    </row>
    <row r="13" spans="1:8">
      <c r="A13" s="160" t="s">
        <v>48</v>
      </c>
      <c r="B13" s="161">
        <f>INDEX(AFRAPR!$W$5:$W$45,MATCH('Summary Sheet'!A13,AFRAPR!$C$5:$C$45,0))</f>
        <v>3216.37</v>
      </c>
      <c r="C13" s="160"/>
      <c r="D13" s="162">
        <f t="shared" si="0"/>
        <v>0</v>
      </c>
      <c r="F13" s="25"/>
      <c r="G13" s="25"/>
      <c r="H13" s="26"/>
    </row>
    <row r="14" spans="1:8">
      <c r="A14" s="160" t="s">
        <v>49</v>
      </c>
      <c r="B14" s="161">
        <f>INDEX(AFRAPR!$W$5:$W$45,MATCH('Summary Sheet'!A14,AFRAPR!$C$5:$C$45,0))</f>
        <v>869.64</v>
      </c>
      <c r="C14" s="160"/>
      <c r="D14" s="162">
        <f t="shared" si="0"/>
        <v>0</v>
      </c>
      <c r="F14" s="25"/>
      <c r="G14" s="25"/>
      <c r="H14" s="26"/>
    </row>
    <row r="15" spans="1:8">
      <c r="A15" s="160" t="s">
        <v>50</v>
      </c>
      <c r="B15" s="161">
        <f>INDEX(AFRAPR!$W$5:$W$45,MATCH('Summary Sheet'!A15,AFRAPR!$C$5:$C$45,0))</f>
        <v>1436.95</v>
      </c>
      <c r="C15" s="160"/>
      <c r="D15" s="162">
        <f t="shared" si="0"/>
        <v>0</v>
      </c>
      <c r="F15" s="25"/>
      <c r="G15" s="25"/>
      <c r="H15" s="26"/>
    </row>
    <row r="16" spans="1:8">
      <c r="A16" s="160" t="s">
        <v>51</v>
      </c>
      <c r="B16" s="161">
        <f>INDEX(AFRAPR!$W$5:$W$45,MATCH('Summary Sheet'!A16,AFRAPR!$C$5:$C$45,0))</f>
        <v>2772.47</v>
      </c>
      <c r="C16" s="160"/>
      <c r="D16" s="162">
        <f t="shared" si="0"/>
        <v>0</v>
      </c>
      <c r="F16" s="25"/>
      <c r="G16" s="25"/>
      <c r="H16" s="26"/>
    </row>
    <row r="17" spans="1:8">
      <c r="A17" s="160" t="s">
        <v>52</v>
      </c>
      <c r="B17" s="161">
        <f>INDEX(AFRAPR!$W$5:$W$45,MATCH('Summary Sheet'!A17,AFRAPR!$C$5:$C$45,0))</f>
        <v>592.39</v>
      </c>
      <c r="C17" s="160"/>
      <c r="D17" s="162">
        <f t="shared" si="0"/>
        <v>0</v>
      </c>
      <c r="F17" s="25"/>
      <c r="G17" s="25"/>
      <c r="H17" s="26"/>
    </row>
    <row r="18" spans="1:8">
      <c r="A18" s="160" t="s">
        <v>53</v>
      </c>
      <c r="B18" s="161">
        <f>INDEX(AFRAPR!$W$5:$W$45,MATCH('Summary Sheet'!A18,AFRAPR!$C$5:$C$45,0))</f>
        <v>3085.73</v>
      </c>
      <c r="C18" s="160"/>
      <c r="D18" s="162">
        <f t="shared" si="0"/>
        <v>0</v>
      </c>
      <c r="F18" s="25"/>
      <c r="G18" s="25"/>
      <c r="H18" s="26"/>
    </row>
    <row r="19" spans="1:8">
      <c r="A19" s="160" t="s">
        <v>54</v>
      </c>
      <c r="B19" s="161">
        <f>INDEX(AFRAPR!$W$5:$W$45,MATCH('Summary Sheet'!A19,AFRAPR!$C$5:$C$45,0))</f>
        <v>1080.95</v>
      </c>
      <c r="C19" s="160"/>
      <c r="D19" s="162">
        <f t="shared" si="0"/>
        <v>0</v>
      </c>
      <c r="F19" s="25"/>
      <c r="G19" s="25"/>
      <c r="H19" s="26"/>
    </row>
    <row r="20" spans="1:8">
      <c r="A20" s="160" t="s">
        <v>55</v>
      </c>
      <c r="B20" s="161">
        <f>INDEX(AFRAPR!$W$5:$W$45,MATCH('Summary Sheet'!A20,AFRAPR!$C$5:$C$45,0))</f>
        <v>434.58</v>
      </c>
      <c r="C20" s="160"/>
      <c r="D20" s="162">
        <f t="shared" si="0"/>
        <v>0</v>
      </c>
      <c r="F20" s="25"/>
      <c r="G20" s="25"/>
      <c r="H20" s="26"/>
    </row>
    <row r="21" spans="1:8">
      <c r="A21" s="160" t="s">
        <v>56</v>
      </c>
      <c r="B21" s="161">
        <f>INDEX(AFRAPR!$W$5:$W$45,MATCH('Summary Sheet'!A21,AFRAPR!$C$5:$C$45,0))</f>
        <v>965.63</v>
      </c>
      <c r="C21" s="160"/>
      <c r="D21" s="162">
        <f t="shared" si="0"/>
        <v>0</v>
      </c>
      <c r="F21" s="25"/>
      <c r="G21" s="25"/>
      <c r="H21" s="26"/>
    </row>
    <row r="22" spans="1:8">
      <c r="A22" s="160" t="s">
        <v>57</v>
      </c>
      <c r="B22" s="161">
        <f>INDEX(AFRAPR!$W$5:$W$45,MATCH('Summary Sheet'!A22,AFRAPR!$C$5:$C$45,0))</f>
        <v>1099.25</v>
      </c>
      <c r="C22" s="160"/>
      <c r="D22" s="162">
        <f t="shared" si="0"/>
        <v>0</v>
      </c>
      <c r="F22" s="25"/>
      <c r="G22" s="25"/>
      <c r="H22" s="26"/>
    </row>
    <row r="23" spans="1:8">
      <c r="A23" s="160" t="s">
        <v>58</v>
      </c>
      <c r="B23" s="161">
        <f>INDEX(AFRAPR!$W$5:$W$45,MATCH('Summary Sheet'!A23,AFRAPR!$C$5:$C$45,0))</f>
        <v>1642.68</v>
      </c>
      <c r="C23" s="160"/>
      <c r="D23" s="162">
        <f t="shared" si="0"/>
        <v>0</v>
      </c>
      <c r="F23" s="25"/>
      <c r="G23" s="25"/>
      <c r="H23" s="26"/>
    </row>
    <row r="24" spans="1:8">
      <c r="A24" s="160" t="s">
        <v>59</v>
      </c>
      <c r="B24" s="161">
        <f>INDEX(AFRAPR!$W$5:$W$45,MATCH('Summary Sheet'!A24,AFRAPR!$C$5:$C$45,0))</f>
        <v>1964.99</v>
      </c>
      <c r="C24" s="160"/>
      <c r="D24" s="162">
        <f t="shared" si="0"/>
        <v>0</v>
      </c>
      <c r="F24" s="25"/>
      <c r="G24" s="25"/>
      <c r="H24" s="26"/>
    </row>
    <row r="25" spans="1:8">
      <c r="A25" s="160" t="s">
        <v>60</v>
      </c>
      <c r="B25" s="161">
        <f>INDEX(AFRAPR!$W$5:$W$45,MATCH('Summary Sheet'!A25,AFRAPR!$C$5:$C$45,0))</f>
        <v>895.52</v>
      </c>
      <c r="C25" s="160"/>
      <c r="D25" s="162">
        <f t="shared" si="0"/>
        <v>0</v>
      </c>
      <c r="F25" s="25"/>
      <c r="G25" s="25"/>
      <c r="H25" s="26"/>
    </row>
    <row r="26" spans="1:8">
      <c r="A26" s="160" t="s">
        <v>61</v>
      </c>
      <c r="B26" s="161">
        <f>INDEX(AFRAPR!$W$5:$W$45,MATCH('Summary Sheet'!A26,AFRAPR!$C$5:$C$45,0))</f>
        <v>441.79</v>
      </c>
      <c r="C26" s="160"/>
      <c r="D26" s="162">
        <f t="shared" si="0"/>
        <v>0</v>
      </c>
      <c r="F26" s="25"/>
      <c r="G26" s="25"/>
      <c r="H26" s="26"/>
    </row>
    <row r="27" spans="1:8">
      <c r="A27" s="160" t="s">
        <v>62</v>
      </c>
      <c r="B27" s="161">
        <f>INDEX(AFRAPR!$W$5:$W$45,MATCH('Summary Sheet'!A27,AFRAPR!$C$5:$C$45,0))</f>
        <v>619.4</v>
      </c>
      <c r="C27" s="160"/>
      <c r="D27" s="162">
        <f t="shared" si="0"/>
        <v>0</v>
      </c>
      <c r="F27" s="25"/>
      <c r="G27" s="25"/>
      <c r="H27" s="26"/>
    </row>
    <row r="28" spans="1:8">
      <c r="A28" s="160" t="s">
        <v>63</v>
      </c>
      <c r="B28" s="161">
        <f>INDEX(AFRAPR!$W$5:$W$45,MATCH('Summary Sheet'!A28,AFRAPR!$C$5:$C$45,0))</f>
        <v>2192.27</v>
      </c>
      <c r="C28" s="160"/>
      <c r="D28" s="162">
        <f t="shared" si="0"/>
        <v>0</v>
      </c>
      <c r="F28" s="25"/>
      <c r="G28" s="25"/>
      <c r="H28" s="26"/>
    </row>
    <row r="29" spans="1:8">
      <c r="A29" s="160" t="s">
        <v>64</v>
      </c>
      <c r="B29" s="161">
        <f>INDEX(AFRAPR!$W$5:$W$45,MATCH('Summary Sheet'!A29,AFRAPR!$C$5:$C$45,0))</f>
        <v>6156.68</v>
      </c>
      <c r="C29" s="160"/>
      <c r="D29" s="162">
        <f t="shared" si="0"/>
        <v>0</v>
      </c>
      <c r="F29" s="25"/>
      <c r="G29" s="25"/>
      <c r="H29" s="26"/>
    </row>
    <row r="30" spans="1:8">
      <c r="A30" s="160" t="s">
        <v>65</v>
      </c>
      <c r="B30" s="161">
        <f>INDEX(AFRAPR!$W$5:$W$45,MATCH('Summary Sheet'!A30,AFRAPR!$C$5:$C$45,0))</f>
        <v>0</v>
      </c>
      <c r="C30" s="160"/>
      <c r="D30" s="162">
        <f t="shared" si="0"/>
        <v>0</v>
      </c>
      <c r="F30" s="25"/>
      <c r="G30" s="25"/>
      <c r="H30" s="26"/>
    </row>
    <row r="31" spans="1:8">
      <c r="A31" s="160" t="s">
        <v>66</v>
      </c>
      <c r="B31" s="161">
        <f>INDEX(AFRAPR!$W$5:$W$45,MATCH('Summary Sheet'!A31,AFRAPR!$C$5:$C$45,0))</f>
        <v>3108.05</v>
      </c>
      <c r="C31" s="160"/>
      <c r="D31" s="162">
        <f t="shared" si="0"/>
        <v>0</v>
      </c>
      <c r="F31" s="25"/>
      <c r="G31" s="25"/>
      <c r="H31" s="26"/>
    </row>
    <row r="32" spans="1:8">
      <c r="A32" s="160" t="s">
        <v>67</v>
      </c>
      <c r="B32" s="161">
        <f>INDEX(AFRAPR!$W$5:$W$45,MATCH('Summary Sheet'!A32,AFRAPR!$C$5:$C$45,0))</f>
        <v>0</v>
      </c>
      <c r="C32" s="160"/>
      <c r="D32" s="162">
        <f t="shared" si="0"/>
        <v>0</v>
      </c>
      <c r="F32" s="25"/>
      <c r="G32" s="25"/>
      <c r="H32" s="26"/>
    </row>
    <row r="33" spans="1:8">
      <c r="A33" s="160" t="s">
        <v>68</v>
      </c>
      <c r="B33" s="161">
        <f>INDEX(AFRAPR!$W$5:$W$45,MATCH('Summary Sheet'!A33,AFRAPR!$C$5:$C$45,0))</f>
        <v>294.49</v>
      </c>
      <c r="C33" s="160"/>
      <c r="D33" s="162">
        <f t="shared" si="0"/>
        <v>0</v>
      </c>
      <c r="F33" s="25"/>
      <c r="G33" s="25"/>
      <c r="H33" s="26"/>
    </row>
    <row r="34" spans="1:8">
      <c r="A34" s="160" t="s">
        <v>69</v>
      </c>
      <c r="B34" s="161">
        <f>INDEX(AFRAPR!$W$5:$W$45,MATCH('Summary Sheet'!A34,AFRAPR!$C$5:$C$45,0))</f>
        <v>0</v>
      </c>
      <c r="C34" s="160"/>
      <c r="D34" s="162">
        <f t="shared" si="0"/>
        <v>0</v>
      </c>
      <c r="F34" s="25"/>
      <c r="G34" s="25"/>
      <c r="H34" s="26"/>
    </row>
    <row r="35" spans="1:8">
      <c r="A35" s="160" t="s">
        <v>70</v>
      </c>
      <c r="B35" s="161">
        <f>INDEX(AFRAPR!$W$5:$W$45,MATCH('Summary Sheet'!A35,AFRAPR!$C$5:$C$45,0))</f>
        <v>2963.58</v>
      </c>
      <c r="C35" s="160"/>
      <c r="D35" s="162">
        <f t="shared" si="0"/>
        <v>0</v>
      </c>
      <c r="F35" s="25"/>
      <c r="G35" s="25"/>
      <c r="H35" s="26"/>
    </row>
    <row r="36" spans="1:8">
      <c r="A36" s="160" t="s">
        <v>71</v>
      </c>
      <c r="B36" s="161">
        <f>INDEX(AFRAPR!$W$5:$W$45,MATCH('Summary Sheet'!A36,AFRAPR!$C$5:$C$45,0))</f>
        <v>0</v>
      </c>
      <c r="C36" s="160"/>
      <c r="D36" s="162">
        <f t="shared" si="0"/>
        <v>0</v>
      </c>
      <c r="F36" s="25"/>
      <c r="G36" s="25"/>
      <c r="H36" s="26"/>
    </row>
    <row r="37" spans="1:8">
      <c r="A37" s="160" t="s">
        <v>72</v>
      </c>
      <c r="B37" s="161">
        <f>INDEX(AFRAPR!$W$5:$W$45,MATCH('Summary Sheet'!A37,AFRAPR!$C$5:$C$45,0))</f>
        <v>96.06</v>
      </c>
      <c r="C37" s="160"/>
      <c r="D37" s="162">
        <f t="shared" si="0"/>
        <v>0</v>
      </c>
      <c r="F37" s="25"/>
      <c r="G37" s="25"/>
      <c r="H37" s="26"/>
    </row>
    <row r="38" spans="1:8">
      <c r="A38" s="160" t="s">
        <v>109</v>
      </c>
      <c r="B38" s="161">
        <f>INDEX(AFRAPR!$W$5:$W$45,MATCH('Summary Sheet'!A38,AFRAPR!$C$5:$C$45,0))</f>
        <v>1141.02</v>
      </c>
      <c r="C38" s="160"/>
      <c r="D38" s="162">
        <f t="shared" si="0"/>
        <v>0</v>
      </c>
      <c r="F38" s="25"/>
      <c r="G38" s="25"/>
      <c r="H38" s="26"/>
    </row>
    <row r="39" spans="1:8">
      <c r="A39" s="160" t="s">
        <v>73</v>
      </c>
      <c r="B39" s="161">
        <f>INDEX(AFRAPR!$W$5:$W$45,MATCH('Summary Sheet'!A39,AFRAPR!$C$5:$C$45,0))</f>
        <v>3722.73</v>
      </c>
      <c r="C39" s="160"/>
      <c r="D39" s="162">
        <f t="shared" si="0"/>
        <v>0</v>
      </c>
      <c r="F39" s="25"/>
      <c r="G39" s="25"/>
      <c r="H39" s="26"/>
    </row>
    <row r="40" spans="1:8">
      <c r="A40" s="160" t="s">
        <v>74</v>
      </c>
      <c r="B40" s="161">
        <f>INDEX(AFRAPR!$W$5:$W$45,MATCH('Summary Sheet'!A40,AFRAPR!$C$5:$C$45,0))</f>
        <v>641.76</v>
      </c>
      <c r="C40" s="160"/>
      <c r="D40" s="162">
        <f t="shared" si="0"/>
        <v>0</v>
      </c>
      <c r="F40" s="25"/>
      <c r="G40" s="25"/>
      <c r="H40" s="26"/>
    </row>
    <row r="41" spans="1:8">
      <c r="A41" s="160" t="s">
        <v>75</v>
      </c>
      <c r="B41" s="161">
        <f>INDEX(AFRAPR!$W$5:$W$45,MATCH('Summary Sheet'!A41,AFRAPR!$C$5:$C$45,0))</f>
        <v>0</v>
      </c>
      <c r="C41" s="160"/>
      <c r="D41" s="162">
        <f t="shared" si="0"/>
        <v>0</v>
      </c>
      <c r="F41" s="25"/>
      <c r="G41" s="25"/>
      <c r="H41" s="26"/>
    </row>
    <row r="42" spans="1:8">
      <c r="A42" s="160" t="s">
        <v>76</v>
      </c>
      <c r="B42" s="161">
        <f>INDEX(AFRAPR!$W$5:$W$45,MATCH('Summary Sheet'!A42,AFRAPR!$C$5:$C$45,0))</f>
        <v>1037.42</v>
      </c>
      <c r="C42" s="160"/>
      <c r="D42" s="162">
        <f t="shared" si="0"/>
        <v>0</v>
      </c>
      <c r="F42" s="25"/>
      <c r="G42" s="25"/>
      <c r="H42" s="26"/>
    </row>
    <row r="43" spans="1:8">
      <c r="A43" s="160" t="s">
        <v>77</v>
      </c>
      <c r="B43" s="161">
        <f>INDEX(AFRAPR!$W$5:$W$45,MATCH('Summary Sheet'!A43,AFRAPR!$C$5:$C$45,0))</f>
        <v>2505.1799999999998</v>
      </c>
      <c r="C43" s="160"/>
      <c r="D43" s="162">
        <f t="shared" si="0"/>
        <v>0</v>
      </c>
      <c r="F43" s="25"/>
      <c r="G43" s="25"/>
      <c r="H43" s="26"/>
    </row>
    <row r="44" spans="1:8">
      <c r="A44" s="160" t="s">
        <v>78</v>
      </c>
      <c r="B44" s="161">
        <f>INDEX(AFRAPR!$W$5:$W$45,MATCH('Summary Sheet'!A44,AFRAPR!$C$5:$C$45,0))</f>
        <v>1856.96</v>
      </c>
      <c r="C44" s="160"/>
      <c r="D44" s="162">
        <f t="shared" si="0"/>
        <v>0</v>
      </c>
      <c r="F44" s="25"/>
      <c r="G44" s="25"/>
      <c r="H44" s="26"/>
    </row>
    <row r="45" spans="1:8">
      <c r="A45" s="160" t="s">
        <v>79</v>
      </c>
      <c r="B45" s="161">
        <f>INDEX(AFRAPR!$W$5:$W$45,MATCH('Summary Sheet'!A45,AFRAPR!$C$5:$C$45,0))</f>
        <v>1637.24</v>
      </c>
      <c r="C45" s="160"/>
      <c r="D45" s="162">
        <f t="shared" si="0"/>
        <v>0</v>
      </c>
      <c r="F45" s="25"/>
      <c r="G45" s="25"/>
      <c r="H45" s="27"/>
    </row>
    <row r="46" spans="1:8">
      <c r="A46" s="160" t="s">
        <v>80</v>
      </c>
      <c r="B46" s="161">
        <f>INDEX(AFRAPR!$W$5:$W$45,MATCH('Summary Sheet'!A46,AFRAPR!$C$5:$C$45,0))</f>
        <v>1515.06</v>
      </c>
      <c r="C46" s="160"/>
      <c r="D46" s="162">
        <f t="shared" si="0"/>
        <v>0</v>
      </c>
      <c r="F46" s="25"/>
      <c r="G46" s="25"/>
      <c r="H46" s="26"/>
    </row>
    <row r="47" spans="1:8">
      <c r="A47" s="160" t="s">
        <v>81</v>
      </c>
      <c r="B47" s="161">
        <f>INDEX(AFRAPR!$W$5:$W$45,MATCH('Summary Sheet'!A47,AFRAPR!$C$5:$C$45,0))</f>
        <v>1667.64</v>
      </c>
      <c r="C47" s="160"/>
      <c r="D47" s="162">
        <f t="shared" si="0"/>
        <v>0</v>
      </c>
      <c r="F47" s="25"/>
      <c r="G47" s="25"/>
      <c r="H47" s="26"/>
    </row>
    <row r="48" spans="1:8">
      <c r="A48" s="160" t="s">
        <v>112</v>
      </c>
      <c r="B48" s="161">
        <f>INDEX(AFRAPR!$W$5:$W$45,MATCH('Summary Sheet'!A48,AFRAPR!$C$5:$C$45,0))</f>
        <v>1798.13</v>
      </c>
      <c r="C48" s="160"/>
      <c r="D48" s="162">
        <f t="shared" si="0"/>
        <v>0</v>
      </c>
      <c r="F48" s="25"/>
      <c r="G48" s="25"/>
      <c r="H48" s="26"/>
    </row>
    <row r="49" spans="1:8">
      <c r="A49" s="160"/>
      <c r="B49" s="160"/>
      <c r="C49" s="160"/>
      <c r="D49" s="162">
        <f>SUM(D8:D47)</f>
        <v>0</v>
      </c>
      <c r="F49" s="25"/>
      <c r="G49" s="25"/>
      <c r="H49" s="26"/>
    </row>
    <row r="50" spans="1:8">
      <c r="A50" s="7" t="s">
        <v>102</v>
      </c>
      <c r="B50" s="10">
        <f>SUM(B8:B48)/41</f>
        <v>1459.7582926829268</v>
      </c>
      <c r="C50" s="6"/>
      <c r="D50" s="6"/>
    </row>
    <row r="51" spans="1:8">
      <c r="A51" s="6"/>
      <c r="B51" s="6"/>
      <c r="C51" s="6"/>
      <c r="D51" s="6"/>
    </row>
    <row r="52" spans="1:8">
      <c r="A52" s="6"/>
      <c r="B52" s="10"/>
      <c r="C52" s="6"/>
      <c r="D52" s="6"/>
    </row>
    <row r="53" spans="1:8">
      <c r="A53" s="6"/>
      <c r="B53" s="6"/>
      <c r="C53" s="6"/>
      <c r="D53" s="6"/>
    </row>
    <row r="54" spans="1:8">
      <c r="A54" s="6"/>
      <c r="B54" s="6"/>
      <c r="C54" s="6"/>
      <c r="D54" s="6"/>
    </row>
    <row r="55" spans="1:8">
      <c r="A55" s="6"/>
      <c r="B55" s="6"/>
      <c r="C55" s="6"/>
      <c r="D55" s="6"/>
    </row>
    <row r="56" spans="1:8">
      <c r="A56" s="6"/>
      <c r="B56" s="6"/>
      <c r="C56" s="6"/>
      <c r="D56" s="6"/>
    </row>
  </sheetData>
  <phoneticPr fontId="0" type="noConversion"/>
  <conditionalFormatting sqref="H8:H49">
    <cfRule type="cellIs" dxfId="1" priority="1" operator="greaterThan">
      <formula>0.5</formula>
    </cfRule>
    <cfRule type="cellIs" dxfId="0" priority="2" operator="lessThan">
      <formula>-0.5</formula>
    </cfRule>
  </conditionalFormatting>
  <printOptions horizontalCentered="1" verticalCentered="1"/>
  <pageMargins left="0.43" right="0.38" top="0.17" bottom="0.17" header="0.17" footer="0.17"/>
  <pageSetup scale="115" orientation="portrait" horizontalDpi="300" verticalDpi="300" r:id="rId1"/>
  <headerFooter alignWithMargins="0">
    <oddFooter>&amp;L&amp;D&amp;RI:\Data\Excel\Cathy\&amp;F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D5373-3297-473F-935D-C9AF6E04F53C}">
  <dimension ref="A1:AA55"/>
  <sheetViews>
    <sheetView zoomScale="55" zoomScaleNormal="55" workbookViewId="0">
      <pane xSplit="3" ySplit="4" topLeftCell="P5" activePane="bottomRight" state="frozen"/>
      <selection pane="topRight" activeCell="D1" sqref="D1"/>
      <selection pane="bottomLeft" activeCell="A5" sqref="A5"/>
      <selection pane="bottomRight" activeCell="Z5" sqref="Z5"/>
    </sheetView>
  </sheetViews>
  <sheetFormatPr defaultColWidth="9.15234375" defaultRowHeight="17.600000000000001"/>
  <cols>
    <col min="1" max="1" width="5.3828125" style="32" bestFit="1" customWidth="1"/>
    <col min="2" max="2" width="4" style="32" bestFit="1" customWidth="1"/>
    <col min="3" max="3" width="16.15234375" style="32" bestFit="1" customWidth="1"/>
    <col min="4" max="4" width="29.4609375" style="31" bestFit="1" customWidth="1"/>
    <col min="5" max="5" width="24.3046875" style="31" bestFit="1" customWidth="1"/>
    <col min="6" max="6" width="17.15234375" style="31" bestFit="1" customWidth="1"/>
    <col min="7" max="7" width="19.53515625" style="31" bestFit="1" customWidth="1"/>
    <col min="8" max="8" width="17.15234375" style="31" bestFit="1" customWidth="1"/>
    <col min="9" max="9" width="24.3828125" style="31" bestFit="1" customWidth="1"/>
    <col min="10" max="10" width="18.53515625" style="31" bestFit="1" customWidth="1"/>
    <col min="11" max="11" width="20.61328125" style="31" bestFit="1" customWidth="1"/>
    <col min="12" max="12" width="21" style="31" customWidth="1"/>
    <col min="13" max="13" width="13.53515625" style="31" bestFit="1" customWidth="1"/>
    <col min="14" max="14" width="21.921875" style="31" bestFit="1" customWidth="1"/>
    <col min="15" max="15" width="24.23046875" style="31" bestFit="1" customWidth="1"/>
    <col min="16" max="16" width="22.53515625" style="31" bestFit="1" customWidth="1"/>
    <col min="17" max="17" width="20.3828125" style="31" bestFit="1" customWidth="1"/>
    <col min="18" max="18" width="18" style="31" bestFit="1" customWidth="1"/>
    <col min="19" max="19" width="23.3046875" style="31" bestFit="1" customWidth="1"/>
    <col min="20" max="20" width="26.53515625" style="31" bestFit="1" customWidth="1"/>
    <col min="21" max="21" width="14.765625" style="31" bestFit="1" customWidth="1"/>
    <col min="22" max="22" width="16.69140625" style="31" bestFit="1" customWidth="1"/>
    <col min="23" max="23" width="13.3828125" style="31" bestFit="1" customWidth="1"/>
    <col min="24" max="24" width="9.15234375" style="31"/>
    <col min="25" max="25" width="14.23046875" style="31" bestFit="1" customWidth="1"/>
    <col min="26" max="26" width="12.69140625" style="31" bestFit="1" customWidth="1"/>
    <col min="27" max="27" width="9.53515625" style="31" bestFit="1" customWidth="1"/>
    <col min="28" max="16384" width="9.15234375" style="31"/>
  </cols>
  <sheetData>
    <row r="1" spans="1:27">
      <c r="A1" s="52"/>
      <c r="B1" s="52"/>
      <c r="C1" s="52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51"/>
      <c r="Y1" s="51"/>
      <c r="Z1" s="51"/>
    </row>
    <row r="2" spans="1:27">
      <c r="A2" s="76"/>
      <c r="B2" s="75"/>
      <c r="C2" s="75"/>
      <c r="D2" s="74">
        <v>1</v>
      </c>
      <c r="E2" s="73">
        <v>2</v>
      </c>
      <c r="F2" s="73">
        <v>3</v>
      </c>
      <c r="G2" s="73">
        <v>4</v>
      </c>
      <c r="H2" s="73">
        <v>5</v>
      </c>
      <c r="I2" s="73">
        <v>6</v>
      </c>
      <c r="J2" s="73">
        <v>7</v>
      </c>
      <c r="K2" s="73">
        <v>8</v>
      </c>
      <c r="L2" s="73">
        <v>9</v>
      </c>
      <c r="M2" s="73">
        <v>10</v>
      </c>
      <c r="N2" s="73">
        <v>11</v>
      </c>
      <c r="O2" s="73">
        <v>12</v>
      </c>
      <c r="P2" s="73">
        <v>13</v>
      </c>
      <c r="Q2" s="73">
        <v>14</v>
      </c>
      <c r="R2" s="73">
        <v>15</v>
      </c>
      <c r="S2" s="73">
        <v>16</v>
      </c>
      <c r="T2" s="73">
        <v>17</v>
      </c>
      <c r="U2" s="73">
        <v>18</v>
      </c>
      <c r="V2" s="73">
        <v>19</v>
      </c>
      <c r="W2" s="72">
        <v>20</v>
      </c>
      <c r="X2" s="65"/>
      <c r="Y2" s="65"/>
      <c r="Z2" s="65"/>
    </row>
    <row r="3" spans="1:27" s="155" customFormat="1" ht="87.9">
      <c r="A3" s="149"/>
      <c r="B3" s="150"/>
      <c r="C3" s="150"/>
      <c r="D3" s="151" t="s">
        <v>228</v>
      </c>
      <c r="E3" s="152" t="s">
        <v>197</v>
      </c>
      <c r="F3" s="152" t="s">
        <v>198</v>
      </c>
      <c r="G3" s="152" t="s">
        <v>199</v>
      </c>
      <c r="H3" s="152" t="s">
        <v>203</v>
      </c>
      <c r="I3" s="152" t="s">
        <v>204</v>
      </c>
      <c r="J3" s="152" t="s">
        <v>205</v>
      </c>
      <c r="K3" s="152" t="s">
        <v>133</v>
      </c>
      <c r="L3" s="152" t="s">
        <v>134</v>
      </c>
      <c r="M3" s="152" t="s">
        <v>99</v>
      </c>
      <c r="N3" s="152" t="s">
        <v>135</v>
      </c>
      <c r="O3" s="152" t="s">
        <v>137</v>
      </c>
      <c r="P3" s="152" t="s">
        <v>206</v>
      </c>
      <c r="Q3" s="152" t="s">
        <v>136</v>
      </c>
      <c r="R3" s="152" t="s">
        <v>138</v>
      </c>
      <c r="S3" s="152" t="s">
        <v>139</v>
      </c>
      <c r="T3" s="152" t="s">
        <v>140</v>
      </c>
      <c r="U3" s="152" t="s">
        <v>233</v>
      </c>
      <c r="V3" s="152" t="s">
        <v>132</v>
      </c>
      <c r="W3" s="153">
        <v>0.5</v>
      </c>
      <c r="X3" s="154"/>
      <c r="Y3" s="154"/>
      <c r="Z3" s="154"/>
    </row>
    <row r="4" spans="1:27">
      <c r="A4" s="71" t="s">
        <v>200</v>
      </c>
      <c r="B4" s="70"/>
      <c r="C4" s="69" t="s">
        <v>26</v>
      </c>
      <c r="D4" s="68" t="s">
        <v>27</v>
      </c>
      <c r="E4" s="67" t="s">
        <v>28</v>
      </c>
      <c r="F4" s="67" t="s">
        <v>97</v>
      </c>
      <c r="G4" s="67" t="s">
        <v>98</v>
      </c>
      <c r="H4" s="67" t="s">
        <v>29</v>
      </c>
      <c r="I4" s="67" t="s">
        <v>30</v>
      </c>
      <c r="J4" s="67" t="s">
        <v>31</v>
      </c>
      <c r="K4" s="67" t="s">
        <v>32</v>
      </c>
      <c r="L4" s="67"/>
      <c r="M4" s="67"/>
      <c r="N4" s="67" t="s">
        <v>33</v>
      </c>
      <c r="O4" s="67" t="s">
        <v>34</v>
      </c>
      <c r="P4" s="67" t="s">
        <v>35</v>
      </c>
      <c r="Q4" s="67" t="s">
        <v>36</v>
      </c>
      <c r="R4" s="67" t="s">
        <v>37</v>
      </c>
      <c r="S4" s="67" t="s">
        <v>38</v>
      </c>
      <c r="T4" s="67" t="s">
        <v>39</v>
      </c>
      <c r="U4" s="67" t="s">
        <v>40</v>
      </c>
      <c r="V4" s="67" t="s">
        <v>41</v>
      </c>
      <c r="W4" s="66" t="s">
        <v>42</v>
      </c>
      <c r="X4" s="65"/>
      <c r="Y4" s="65"/>
      <c r="Z4" s="65"/>
    </row>
    <row r="5" spans="1:27">
      <c r="A5" s="64" t="s">
        <v>156</v>
      </c>
      <c r="B5" s="63">
        <v>1</v>
      </c>
      <c r="C5" s="52" t="s">
        <v>43</v>
      </c>
      <c r="D5" s="163">
        <v>739372453</v>
      </c>
      <c r="E5" s="164">
        <v>75277841</v>
      </c>
      <c r="F5" s="165">
        <v>2934811</v>
      </c>
      <c r="G5" s="165">
        <v>3722064</v>
      </c>
      <c r="H5" s="166">
        <v>4274789</v>
      </c>
      <c r="I5" s="165">
        <v>18356053</v>
      </c>
      <c r="J5" s="165">
        <v>27928530</v>
      </c>
      <c r="K5" s="166">
        <f>D5+E5-H5-I5-J5</f>
        <v>764090922</v>
      </c>
      <c r="L5" s="166">
        <v>175151968</v>
      </c>
      <c r="M5" s="128">
        <f>VALTAX24!O10</f>
        <v>3.4160000000000002E-3</v>
      </c>
      <c r="N5" s="167">
        <f>(VALTAX24!D10/AFRAPR!M5)*L5</f>
        <v>72091237.414519906</v>
      </c>
      <c r="O5" s="164">
        <v>490443439</v>
      </c>
      <c r="P5" s="164">
        <v>68666656</v>
      </c>
      <c r="Q5" s="166">
        <v>10013777</v>
      </c>
      <c r="R5" s="164">
        <v>2927861</v>
      </c>
      <c r="S5" s="168">
        <f>SUM(N5:R5)</f>
        <v>644142970.41451991</v>
      </c>
      <c r="T5" s="168">
        <f>K5-S5</f>
        <v>119947951.58548009</v>
      </c>
      <c r="U5" s="62">
        <f>INDEX(FY25_LE_Data245[FY23 ADM - Grades K-12],MATCH(AFRAPR!B5,FY25_LE_Data245[ID],0))+INDEX(FY25_LE_Data245[FY23ADM - SPED Self-Contained],MATCH(AFRAPR!B5,FY25_LE_Data245[ID],0))</f>
        <v>83786.861111111109</v>
      </c>
      <c r="V5" s="175">
        <f>T5/U5</f>
        <v>1431.5842602865284</v>
      </c>
      <c r="W5" s="179">
        <f>IF(V5&gt;0,ROUND(V5/2,2),0)</f>
        <v>715.79</v>
      </c>
      <c r="Y5" s="157"/>
      <c r="Z5" s="37"/>
      <c r="AA5" s="158"/>
    </row>
    <row r="6" spans="1:27">
      <c r="A6" s="64" t="s">
        <v>157</v>
      </c>
      <c r="B6" s="63">
        <v>2</v>
      </c>
      <c r="C6" s="52" t="s">
        <v>44</v>
      </c>
      <c r="D6" s="163">
        <v>19833688.850000001</v>
      </c>
      <c r="E6" s="164">
        <v>1735411.75</v>
      </c>
      <c r="F6" s="165">
        <v>0</v>
      </c>
      <c r="G6" s="165">
        <v>0</v>
      </c>
      <c r="H6" s="166">
        <v>0</v>
      </c>
      <c r="I6" s="165">
        <v>0</v>
      </c>
      <c r="J6" s="165">
        <v>1600541.17</v>
      </c>
      <c r="K6" s="166">
        <f>D6+E6-H6-I6-J6</f>
        <v>19968559.43</v>
      </c>
      <c r="L6" s="166">
        <v>6391795.4199999999</v>
      </c>
      <c r="M6" s="128">
        <f>VALTAX24!O11</f>
        <v>4.0829999999999998E-3</v>
      </c>
      <c r="N6" s="167">
        <f>(VALTAX24!D11/AFRAPR!M6)*L6</f>
        <v>2201044.4184472202</v>
      </c>
      <c r="O6" s="164">
        <v>12309154.939999999</v>
      </c>
      <c r="P6" s="164">
        <v>984902.75</v>
      </c>
      <c r="Q6" s="166">
        <v>196.98</v>
      </c>
      <c r="R6" s="164">
        <v>0</v>
      </c>
      <c r="S6" s="168">
        <f t="shared" ref="S6:S45" si="0">SUM(N6:R6)</f>
        <v>15495299.088447221</v>
      </c>
      <c r="T6" s="168">
        <f t="shared" ref="T6:T45" si="1">K6-S6</f>
        <v>4473260.3415527791</v>
      </c>
      <c r="U6" s="62">
        <f>INDEX(FY25_LE_Data245[FY23 ADM - Grades K-12],MATCH(AFRAPR!B6,FY25_LE_Data245[ID],0))+INDEX(FY25_LE_Data245[FY23ADM - SPED Self-Contained],MATCH(AFRAPR!B6,FY25_LE_Data245[ID],0))</f>
        <v>1489.5166666666667</v>
      </c>
      <c r="V6" s="175">
        <f t="shared" ref="V6:V45" si="2">T6/U6</f>
        <v>3003.1623288669339</v>
      </c>
      <c r="W6" s="179">
        <f t="shared" ref="W6:W45" si="3">IF(V6&gt;0,ROUND(V6/2,2),0)</f>
        <v>1501.58</v>
      </c>
      <c r="Y6" s="157"/>
      <c r="Z6" s="37"/>
      <c r="AA6" s="158"/>
    </row>
    <row r="7" spans="1:27">
      <c r="A7" s="64" t="s">
        <v>158</v>
      </c>
      <c r="B7" s="63">
        <v>3</v>
      </c>
      <c r="C7" s="52" t="s">
        <v>45</v>
      </c>
      <c r="D7" s="163">
        <v>124100995.37</v>
      </c>
      <c r="E7" s="164">
        <v>14680603.279999999</v>
      </c>
      <c r="F7" s="165">
        <v>325889.42</v>
      </c>
      <c r="G7" s="165">
        <v>1591802.29</v>
      </c>
      <c r="H7" s="166">
        <v>232088.41</v>
      </c>
      <c r="I7" s="165">
        <v>135692.56</v>
      </c>
      <c r="J7" s="165">
        <v>4083743.02</v>
      </c>
      <c r="K7" s="166">
        <f>D7+E7-H7-I7-J7</f>
        <v>134330074.66</v>
      </c>
      <c r="L7" s="166">
        <v>29305305.050000001</v>
      </c>
      <c r="M7" s="128">
        <f>VALTAX24!O12</f>
        <v>3.7769999999999995E-3</v>
      </c>
      <c r="N7" s="167">
        <f>(VALTAX24!D12/AFRAPR!M7)*L7</f>
        <v>10908990.971750068</v>
      </c>
      <c r="O7" s="164">
        <v>77303261.469999999</v>
      </c>
      <c r="P7" s="164">
        <v>9854072.5800000001</v>
      </c>
      <c r="Q7" s="166">
        <v>3754298.86</v>
      </c>
      <c r="R7" s="164">
        <v>40224.300000000003</v>
      </c>
      <c r="S7" s="168">
        <f t="shared" si="0"/>
        <v>101860848.18175006</v>
      </c>
      <c r="T7" s="168">
        <f t="shared" si="1"/>
        <v>32469226.478249937</v>
      </c>
      <c r="U7" s="62">
        <f>INDEX(FY25_LE_Data245[FY23 ADM - Grades K-12],MATCH(AFRAPR!B7,FY25_LE_Data245[ID],0))+INDEX(FY25_LE_Data245[FY23ADM - SPED Self-Contained],MATCH(AFRAPR!B7,FY25_LE_Data245[ID],0))</f>
        <v>12175.572222222223</v>
      </c>
      <c r="V7" s="175">
        <f t="shared" si="2"/>
        <v>2666.7515814155158</v>
      </c>
      <c r="W7" s="179">
        <f t="shared" si="3"/>
        <v>1333.38</v>
      </c>
      <c r="Y7" s="157"/>
      <c r="Z7" s="37"/>
      <c r="AA7" s="158"/>
    </row>
    <row r="8" spans="1:27">
      <c r="A8" s="64" t="s">
        <v>159</v>
      </c>
      <c r="B8" s="63">
        <v>4</v>
      </c>
      <c r="C8" s="52" t="s">
        <v>46</v>
      </c>
      <c r="D8" s="163">
        <v>189013775.02000001</v>
      </c>
      <c r="E8" s="164">
        <v>7243665.3099999996</v>
      </c>
      <c r="F8" s="165">
        <v>0</v>
      </c>
      <c r="G8" s="165">
        <v>0</v>
      </c>
      <c r="H8" s="166">
        <v>1733087</v>
      </c>
      <c r="I8" s="165">
        <v>0</v>
      </c>
      <c r="J8" s="165">
        <v>3404167.44</v>
      </c>
      <c r="K8" s="166">
        <f>D8+E8-H8-I8-J8</f>
        <v>191120185.89000002</v>
      </c>
      <c r="L8" s="166">
        <v>35433301.659999996</v>
      </c>
      <c r="M8" s="128">
        <f>VALTAX24!O13</f>
        <v>3.0559999999999997E-3</v>
      </c>
      <c r="N8" s="167">
        <f>(VALTAX24!D13/AFRAPR!M8)*L8</f>
        <v>16302101.483625654</v>
      </c>
      <c r="O8" s="164">
        <v>137338986.09999999</v>
      </c>
      <c r="P8" s="164">
        <v>13086192.029999999</v>
      </c>
      <c r="Q8" s="166">
        <v>3594240.3</v>
      </c>
      <c r="R8" s="164">
        <v>0</v>
      </c>
      <c r="S8" s="168">
        <f t="shared" si="0"/>
        <v>170321519.91362566</v>
      </c>
      <c r="T8" s="168">
        <f t="shared" si="1"/>
        <v>20798665.976374358</v>
      </c>
      <c r="U8" s="62">
        <f>INDEX(FY25_LE_Data245[FY23 ADM - Grades K-12],MATCH(AFRAPR!B8,FY25_LE_Data245[ID],0))+INDEX(FY25_LE_Data245[FY23ADM - SPED Self-Contained],MATCH(AFRAPR!B8,FY25_LE_Data245[ID],0))</f>
        <v>19637.861111111109</v>
      </c>
      <c r="V8" s="175">
        <f t="shared" si="2"/>
        <v>1059.1105547949142</v>
      </c>
      <c r="W8" s="179">
        <f t="shared" si="3"/>
        <v>529.55999999999995</v>
      </c>
      <c r="Y8" s="157"/>
      <c r="Z8" s="37"/>
      <c r="AA8" s="158"/>
    </row>
    <row r="9" spans="1:27">
      <c r="A9" s="64" t="s">
        <v>160</v>
      </c>
      <c r="B9" s="63">
        <v>5</v>
      </c>
      <c r="C9" s="52" t="s">
        <v>47</v>
      </c>
      <c r="D9" s="163">
        <v>39045791.299999997</v>
      </c>
      <c r="E9" s="164">
        <v>6967559.2800000003</v>
      </c>
      <c r="F9" s="165">
        <v>0</v>
      </c>
      <c r="G9" s="165">
        <v>0</v>
      </c>
      <c r="H9" s="166">
        <v>0</v>
      </c>
      <c r="I9" s="165">
        <v>55317.52</v>
      </c>
      <c r="J9" s="165">
        <v>1374076.99</v>
      </c>
      <c r="K9" s="166">
        <f>D9+E9-H9-I9-J9</f>
        <v>44583956.069999993</v>
      </c>
      <c r="L9" s="166">
        <v>11136952.09</v>
      </c>
      <c r="M9" s="128">
        <f>VALTAX24!O14</f>
        <v>4.1619999999999999E-3</v>
      </c>
      <c r="N9" s="167">
        <f>(VALTAX24!D14/AFRAPR!M9)*L9</f>
        <v>3762266.8521239785</v>
      </c>
      <c r="O9" s="164">
        <v>20508155.5</v>
      </c>
      <c r="P9" s="164">
        <v>4185955.3</v>
      </c>
      <c r="Q9" s="166">
        <v>859274.31</v>
      </c>
      <c r="R9" s="164">
        <v>0</v>
      </c>
      <c r="S9" s="168">
        <f t="shared" si="0"/>
        <v>29315651.962123979</v>
      </c>
      <c r="T9" s="168">
        <f t="shared" si="1"/>
        <v>15268304.107876014</v>
      </c>
      <c r="U9" s="62">
        <f>INDEX(FY25_LE_Data245[FY23 ADM - Grades K-12],MATCH(AFRAPR!B9,FY25_LE_Data245[ID],0))+INDEX(FY25_LE_Data245[FY23ADM - SPED Self-Contained],MATCH(AFRAPR!B9,FY25_LE_Data245[ID],0))</f>
        <v>3294.6055555555558</v>
      </c>
      <c r="V9" s="175">
        <f t="shared" si="2"/>
        <v>4634.3344750723527</v>
      </c>
      <c r="W9" s="179">
        <f t="shared" si="3"/>
        <v>2317.17</v>
      </c>
      <c r="Y9" s="157"/>
      <c r="Z9" s="37"/>
      <c r="AA9" s="158"/>
    </row>
    <row r="10" spans="1:27">
      <c r="A10" s="64" t="s">
        <v>161</v>
      </c>
      <c r="B10" s="63">
        <v>6</v>
      </c>
      <c r="C10" s="52" t="s">
        <v>48</v>
      </c>
      <c r="D10" s="163">
        <v>5086808</v>
      </c>
      <c r="E10" s="164">
        <v>624451</v>
      </c>
      <c r="F10" s="165">
        <v>566</v>
      </c>
      <c r="G10" s="165">
        <v>15048</v>
      </c>
      <c r="H10" s="166">
        <v>6140</v>
      </c>
      <c r="I10" s="165">
        <v>220206</v>
      </c>
      <c r="J10" s="165">
        <v>0</v>
      </c>
      <c r="K10" s="166">
        <f>D10+E10-H10-I10-J10</f>
        <v>5484913</v>
      </c>
      <c r="L10" s="166">
        <v>1398111</v>
      </c>
      <c r="M10" s="128">
        <f>VALTAX24!O15</f>
        <v>3.0039999999999997E-3</v>
      </c>
      <c r="N10" s="167">
        <f>(VALTAX24!D15/AFRAPR!M10)*L10</f>
        <v>654375.52130492672</v>
      </c>
      <c r="O10" s="164">
        <v>2997745</v>
      </c>
      <c r="P10" s="164">
        <v>519067</v>
      </c>
      <c r="Q10" s="166">
        <v>191892</v>
      </c>
      <c r="R10" s="164">
        <v>0</v>
      </c>
      <c r="S10" s="168">
        <f t="shared" si="0"/>
        <v>4363079.5213049268</v>
      </c>
      <c r="T10" s="168">
        <f t="shared" si="1"/>
        <v>1121833.4786950732</v>
      </c>
      <c r="U10" s="62">
        <f>INDEX(FY25_LE_Data245[FY23 ADM - Grades K-12],MATCH(AFRAPR!B10,FY25_LE_Data245[ID],0))+INDEX(FY25_LE_Data245[FY23ADM - SPED Self-Contained],MATCH(AFRAPR!B10,FY25_LE_Data245[ID],0))</f>
        <v>174.39444444444445</v>
      </c>
      <c r="V10" s="175">
        <f t="shared" si="2"/>
        <v>6432.736330958337</v>
      </c>
      <c r="W10" s="179">
        <f t="shared" si="3"/>
        <v>3216.37</v>
      </c>
      <c r="Y10" s="157"/>
      <c r="Z10" s="37"/>
      <c r="AA10" s="158"/>
    </row>
    <row r="11" spans="1:27">
      <c r="A11" s="64" t="s">
        <v>162</v>
      </c>
      <c r="B11" s="63">
        <v>7</v>
      </c>
      <c r="C11" s="52" t="s">
        <v>49</v>
      </c>
      <c r="D11" s="163">
        <v>684782289.02999997</v>
      </c>
      <c r="E11" s="164">
        <v>66362468.469999999</v>
      </c>
      <c r="F11" s="165">
        <v>1198469.8600000001</v>
      </c>
      <c r="G11" s="165">
        <v>1615000</v>
      </c>
      <c r="H11" s="166">
        <v>6290195.0599999996</v>
      </c>
      <c r="I11" s="165">
        <v>12501401.33</v>
      </c>
      <c r="J11" s="165">
        <v>33378878.829999998</v>
      </c>
      <c r="K11" s="166">
        <f>D11+E11-H11-I11-J11</f>
        <v>698974282.27999997</v>
      </c>
      <c r="L11" s="166">
        <v>179318779.97999999</v>
      </c>
      <c r="M11" s="128">
        <f>VALTAX24!O16</f>
        <v>4.0800000000000003E-3</v>
      </c>
      <c r="N11" s="167">
        <f>(VALTAX24!D16/AFRAPR!M11)*L11</f>
        <v>61794658.002911754</v>
      </c>
      <c r="O11" s="164">
        <v>443115125.72000003</v>
      </c>
      <c r="P11" s="164">
        <v>62915703.579999998</v>
      </c>
      <c r="Q11" s="166">
        <v>8081705.54</v>
      </c>
      <c r="R11" s="164">
        <v>0</v>
      </c>
      <c r="S11" s="168">
        <f t="shared" si="0"/>
        <v>575907192.84291172</v>
      </c>
      <c r="T11" s="168">
        <f t="shared" si="1"/>
        <v>123067089.43708825</v>
      </c>
      <c r="U11" s="62">
        <f>INDEX(FY25_LE_Data245[FY23 ADM - Grades K-12],MATCH(AFRAPR!B11,FY25_LE_Data245[ID],0))+INDEX(FY25_LE_Data245[FY23ADM - SPED Self-Contained],MATCH(AFRAPR!B11,FY25_LE_Data245[ID],0))</f>
        <v>70757.25</v>
      </c>
      <c r="V11" s="175">
        <f t="shared" si="2"/>
        <v>1739.2859309411863</v>
      </c>
      <c r="W11" s="179">
        <f t="shared" si="3"/>
        <v>869.64</v>
      </c>
      <c r="Y11" s="157"/>
      <c r="Z11" s="37"/>
      <c r="AA11" s="158"/>
    </row>
    <row r="12" spans="1:27">
      <c r="A12" s="64" t="s">
        <v>163</v>
      </c>
      <c r="B12" s="63">
        <v>8</v>
      </c>
      <c r="C12" s="52" t="s">
        <v>50</v>
      </c>
      <c r="D12" s="163">
        <v>57811020.259999998</v>
      </c>
      <c r="E12" s="164">
        <v>34900500.469999999</v>
      </c>
      <c r="F12" s="165">
        <v>3522792.39</v>
      </c>
      <c r="G12" s="165">
        <v>4028776.45</v>
      </c>
      <c r="H12" s="166">
        <v>0</v>
      </c>
      <c r="I12" s="165">
        <v>0</v>
      </c>
      <c r="J12" s="165">
        <v>26755666.030000001</v>
      </c>
      <c r="K12" s="166">
        <f>D12+E12-H12-I12-J12</f>
        <v>65955854.699999988</v>
      </c>
      <c r="L12" s="166">
        <v>14726643.390000001</v>
      </c>
      <c r="M12" s="128">
        <f>VALTAX24!O17</f>
        <v>3.754E-3</v>
      </c>
      <c r="N12" s="167">
        <f>(VALTAX24!D17/AFRAPR!M12)*L12</f>
        <v>5515626.1604528502</v>
      </c>
      <c r="O12" s="164">
        <v>40256737.810000002</v>
      </c>
      <c r="P12" s="164">
        <v>5558036.6900000004</v>
      </c>
      <c r="Q12" s="166">
        <v>0</v>
      </c>
      <c r="R12" s="164">
        <v>0</v>
      </c>
      <c r="S12" s="168">
        <f t="shared" si="0"/>
        <v>51330400.66045285</v>
      </c>
      <c r="T12" s="168">
        <f t="shared" si="1"/>
        <v>14625454.039547138</v>
      </c>
      <c r="U12" s="62">
        <f>INDEX(FY25_LE_Data245[FY23 ADM - Grades K-12],MATCH(AFRAPR!B12,FY25_LE_Data245[ID],0))+INDEX(FY25_LE_Data245[FY23ADM - SPED Self-Contained],MATCH(AFRAPR!B12,FY25_LE_Data245[ID],0))</f>
        <v>5089.0611111111111</v>
      </c>
      <c r="V12" s="175">
        <f t="shared" si="2"/>
        <v>2873.900257871715</v>
      </c>
      <c r="W12" s="179">
        <f t="shared" si="3"/>
        <v>1436.95</v>
      </c>
      <c r="Y12" s="157"/>
      <c r="Z12" s="37"/>
      <c r="AA12" s="158"/>
    </row>
    <row r="13" spans="1:27">
      <c r="A13" s="64" t="s">
        <v>164</v>
      </c>
      <c r="B13" s="63">
        <v>9</v>
      </c>
      <c r="C13" s="52" t="s">
        <v>51</v>
      </c>
      <c r="D13" s="163">
        <v>31628183</v>
      </c>
      <c r="E13" s="164">
        <v>25981388</v>
      </c>
      <c r="F13" s="165">
        <v>0</v>
      </c>
      <c r="G13" s="165">
        <v>0</v>
      </c>
      <c r="H13" s="166">
        <v>47736</v>
      </c>
      <c r="I13" s="165">
        <v>0</v>
      </c>
      <c r="J13" s="165">
        <v>24670189</v>
      </c>
      <c r="K13" s="166">
        <f>D13+E13-H13-I13-J13</f>
        <v>32891646</v>
      </c>
      <c r="L13" s="166">
        <v>12797049</v>
      </c>
      <c r="M13" s="128">
        <f>VALTAX24!O18</f>
        <v>5.2259999999999997E-3</v>
      </c>
      <c r="N13" s="167">
        <f>(VALTAX24!D18/AFRAPR!M13)*L13</f>
        <v>3442910.6188289323</v>
      </c>
      <c r="O13" s="164">
        <v>16096410</v>
      </c>
      <c r="P13" s="164">
        <v>2055415</v>
      </c>
      <c r="Q13" s="166">
        <v>0</v>
      </c>
      <c r="R13" s="164">
        <v>0</v>
      </c>
      <c r="S13" s="168">
        <f t="shared" si="0"/>
        <v>21594735.618828934</v>
      </c>
      <c r="T13" s="168">
        <f t="shared" si="1"/>
        <v>11296910.381171066</v>
      </c>
      <c r="U13" s="62">
        <f>INDEX(FY25_LE_Data245[FY23 ADM - Grades K-12],MATCH(AFRAPR!B13,FY25_LE_Data245[ID],0))+INDEX(FY25_LE_Data245[FY23ADM - SPED Self-Contained],MATCH(AFRAPR!B13,FY25_LE_Data245[ID],0))</f>
        <v>2037.333333333333</v>
      </c>
      <c r="V13" s="175">
        <f t="shared" si="2"/>
        <v>5544.9494671978409</v>
      </c>
      <c r="W13" s="179">
        <f t="shared" si="3"/>
        <v>2772.47</v>
      </c>
      <c r="Y13" s="157"/>
      <c r="Z13" s="37"/>
      <c r="AA13" s="158"/>
    </row>
    <row r="14" spans="1:27">
      <c r="A14" s="64" t="s">
        <v>165</v>
      </c>
      <c r="B14" s="63">
        <v>10</v>
      </c>
      <c r="C14" s="52" t="s">
        <v>52</v>
      </c>
      <c r="D14" s="163">
        <v>16191208</v>
      </c>
      <c r="E14" s="164">
        <v>10179145</v>
      </c>
      <c r="F14" s="165">
        <v>150954</v>
      </c>
      <c r="G14" s="165">
        <v>1170818</v>
      </c>
      <c r="H14" s="166">
        <v>0</v>
      </c>
      <c r="I14" s="165">
        <v>0</v>
      </c>
      <c r="J14" s="165">
        <v>8527518</v>
      </c>
      <c r="K14" s="166">
        <f>D14+E14-H14-I14-J14</f>
        <v>17842835</v>
      </c>
      <c r="L14" s="166">
        <v>3491789</v>
      </c>
      <c r="M14" s="128">
        <f>VALTAX24!O19</f>
        <v>3.7620000000000002E-3</v>
      </c>
      <c r="N14" s="167">
        <f>(VALTAX24!D19/AFRAPR!M14)*L14</f>
        <v>1305012.0505050505</v>
      </c>
      <c r="O14" s="164">
        <v>12652947</v>
      </c>
      <c r="P14" s="164">
        <v>1638900</v>
      </c>
      <c r="Q14" s="166">
        <v>807885</v>
      </c>
      <c r="R14" s="164">
        <v>0</v>
      </c>
      <c r="S14" s="168">
        <f t="shared" si="0"/>
        <v>16404744.05050505</v>
      </c>
      <c r="T14" s="168">
        <f t="shared" si="1"/>
        <v>1438090.9494949505</v>
      </c>
      <c r="U14" s="62">
        <f>INDEX(FY25_LE_Data245[FY23 ADM - Grades K-12],MATCH(AFRAPR!B14,FY25_LE_Data245[ID],0))+INDEX(FY25_LE_Data245[FY23ADM - SPED Self-Contained],MATCH(AFRAPR!B14,FY25_LE_Data245[ID],0))</f>
        <v>1213.8055555555554</v>
      </c>
      <c r="V14" s="175">
        <f t="shared" si="2"/>
        <v>1184.7786846194983</v>
      </c>
      <c r="W14" s="179">
        <f t="shared" si="3"/>
        <v>592.39</v>
      </c>
      <c r="Y14" s="157"/>
      <c r="Z14" s="37"/>
      <c r="AA14" s="158"/>
    </row>
    <row r="15" spans="1:27">
      <c r="A15" s="64" t="s">
        <v>166</v>
      </c>
      <c r="B15" s="63">
        <v>11</v>
      </c>
      <c r="C15" s="52" t="s">
        <v>53</v>
      </c>
      <c r="D15" s="163">
        <v>19961487.850000001</v>
      </c>
      <c r="E15" s="164">
        <v>3134878.59</v>
      </c>
      <c r="F15" s="165">
        <v>1325094.8</v>
      </c>
      <c r="G15" s="165">
        <v>1084000</v>
      </c>
      <c r="H15" s="166">
        <v>0</v>
      </c>
      <c r="I15" s="165">
        <v>0</v>
      </c>
      <c r="J15" s="165">
        <v>436978.76</v>
      </c>
      <c r="K15" s="166">
        <f>D15+E15-H15-I15-J15</f>
        <v>22659387.68</v>
      </c>
      <c r="L15" s="166">
        <v>12963391.77</v>
      </c>
      <c r="M15" s="128">
        <f>VALTAX24!O20</f>
        <v>4.1200000000000004E-3</v>
      </c>
      <c r="N15" s="167">
        <f>(VALTAX24!D20/AFRAPR!M15)*L15</f>
        <v>4423914.7642281549</v>
      </c>
      <c r="O15" s="164">
        <v>7147061.8600000003</v>
      </c>
      <c r="P15" s="164">
        <v>2014090.44</v>
      </c>
      <c r="Q15" s="166">
        <v>316736.75</v>
      </c>
      <c r="R15" s="164">
        <v>0</v>
      </c>
      <c r="S15" s="168">
        <f t="shared" si="0"/>
        <v>13901803.814228155</v>
      </c>
      <c r="T15" s="168">
        <f t="shared" si="1"/>
        <v>8757583.865771845</v>
      </c>
      <c r="U15" s="62">
        <f>INDEX(FY25_LE_Data245[FY23 ADM - Grades K-12],MATCH(AFRAPR!B15,FY25_LE_Data245[ID],0))+INDEX(FY25_LE_Data245[FY23ADM - SPED Self-Contained],MATCH(AFRAPR!B15,FY25_LE_Data245[ID],0))</f>
        <v>1419.0444444444447</v>
      </c>
      <c r="V15" s="175">
        <f t="shared" si="2"/>
        <v>6171.4655239007934</v>
      </c>
      <c r="W15" s="179">
        <f t="shared" si="3"/>
        <v>3085.73</v>
      </c>
      <c r="Y15" s="157"/>
      <c r="Z15" s="37"/>
      <c r="AA15" s="158"/>
    </row>
    <row r="16" spans="1:27">
      <c r="A16" s="64" t="s">
        <v>167</v>
      </c>
      <c r="B16" s="63">
        <v>12</v>
      </c>
      <c r="C16" s="52" t="s">
        <v>54</v>
      </c>
      <c r="D16" s="163">
        <v>624093176.63</v>
      </c>
      <c r="E16" s="164">
        <v>137984346.19999999</v>
      </c>
      <c r="F16" s="165">
        <v>0</v>
      </c>
      <c r="G16" s="165">
        <v>0</v>
      </c>
      <c r="H16" s="166">
        <v>0</v>
      </c>
      <c r="I16" s="165">
        <v>673445.68</v>
      </c>
      <c r="J16" s="165">
        <v>120368970.86</v>
      </c>
      <c r="K16" s="166">
        <f>D16+E16-H16-I16-J16</f>
        <v>641035106.28999996</v>
      </c>
      <c r="L16" s="166">
        <v>184321984.22999999</v>
      </c>
      <c r="M16" s="128">
        <f>VALTAX24!O21</f>
        <v>3.954E-3</v>
      </c>
      <c r="N16" s="167">
        <f>(VALTAX24!D21/AFRAPR!M16)*L16</f>
        <v>65542921.048907429</v>
      </c>
      <c r="O16" s="164">
        <v>359880607.30000001</v>
      </c>
      <c r="P16" s="164">
        <v>78735094.349999994</v>
      </c>
      <c r="Q16" s="166">
        <v>6651442.46</v>
      </c>
      <c r="R16" s="164">
        <v>5906232.79</v>
      </c>
      <c r="S16" s="168">
        <f t="shared" si="0"/>
        <v>516716297.94890749</v>
      </c>
      <c r="T16" s="168">
        <f t="shared" si="1"/>
        <v>124318808.34109247</v>
      </c>
      <c r="U16" s="62">
        <f>INDEX(FY25_LE_Data245[FY23 ADM - Grades K-12],MATCH(AFRAPR!B16,FY25_LE_Data245[ID],0))+INDEX(FY25_LE_Data245[FY23ADM - SPED Self-Contained],MATCH(AFRAPR!B16,FY25_LE_Data245[ID],0))</f>
        <v>57504.161111111105</v>
      </c>
      <c r="V16" s="175">
        <f t="shared" si="2"/>
        <v>2161.9097807701305</v>
      </c>
      <c r="W16" s="179">
        <f t="shared" si="3"/>
        <v>1080.95</v>
      </c>
      <c r="Y16" s="157"/>
      <c r="Z16" s="37"/>
      <c r="AA16" s="158"/>
    </row>
    <row r="17" spans="1:27">
      <c r="A17" s="64" t="s">
        <v>168</v>
      </c>
      <c r="B17" s="63">
        <v>13</v>
      </c>
      <c r="C17" s="52" t="s">
        <v>55</v>
      </c>
      <c r="D17" s="163">
        <v>106032346.3</v>
      </c>
      <c r="E17" s="164">
        <v>15772460.359999999</v>
      </c>
      <c r="F17" s="165">
        <v>981.8</v>
      </c>
      <c r="G17" s="165">
        <v>204453.51</v>
      </c>
      <c r="H17" s="166">
        <v>0</v>
      </c>
      <c r="I17" s="165">
        <v>0</v>
      </c>
      <c r="J17" s="165">
        <v>10914741.34</v>
      </c>
      <c r="K17" s="166">
        <f>D17+E17-H17-I17-J17</f>
        <v>110890065.31999999</v>
      </c>
      <c r="L17" s="166">
        <v>22597375.969999999</v>
      </c>
      <c r="M17" s="128">
        <f>VALTAX24!O22</f>
        <v>2.7599999999999999E-3</v>
      </c>
      <c r="N17" s="167">
        <f>(VALTAX24!D22/AFRAPR!M17)*L17</f>
        <v>11511561.81660145</v>
      </c>
      <c r="O17" s="164">
        <v>76597040.599999994</v>
      </c>
      <c r="P17" s="164">
        <v>11574731.560000001</v>
      </c>
      <c r="Q17" s="166">
        <v>522954.6</v>
      </c>
      <c r="R17" s="164">
        <v>0</v>
      </c>
      <c r="S17" s="168">
        <f t="shared" si="0"/>
        <v>100206288.57660145</v>
      </c>
      <c r="T17" s="168">
        <f t="shared" si="1"/>
        <v>10683776.743398547</v>
      </c>
      <c r="U17" s="62">
        <f>INDEX(FY25_LE_Data245[FY23 ADM - Grades K-12],MATCH(AFRAPR!B17,FY25_LE_Data245[ID],0))+INDEX(FY25_LE_Data245[FY23ADM - SPED Self-Contained],MATCH(AFRAPR!B17,FY25_LE_Data245[ID],0))</f>
        <v>12292.199999999999</v>
      </c>
      <c r="V17" s="175">
        <f t="shared" si="2"/>
        <v>869.15090410166999</v>
      </c>
      <c r="W17" s="179">
        <f t="shared" si="3"/>
        <v>434.58</v>
      </c>
      <c r="Y17" s="157"/>
      <c r="Z17" s="37"/>
      <c r="AA17" s="158"/>
    </row>
    <row r="18" spans="1:27">
      <c r="A18" s="64" t="s">
        <v>169</v>
      </c>
      <c r="B18" s="63">
        <v>14</v>
      </c>
      <c r="C18" s="52" t="s">
        <v>56</v>
      </c>
      <c r="D18" s="163">
        <v>521608044.80000001</v>
      </c>
      <c r="E18" s="164">
        <v>52644663.350000001</v>
      </c>
      <c r="F18" s="165">
        <v>1543364.53</v>
      </c>
      <c r="G18" s="165">
        <v>1137000</v>
      </c>
      <c r="H18" s="166">
        <v>7790059.9199999999</v>
      </c>
      <c r="I18" s="165">
        <v>0</v>
      </c>
      <c r="J18" s="165">
        <v>33808887.710000001</v>
      </c>
      <c r="K18" s="166">
        <f>D18+E18-H18-I18-J18</f>
        <v>532653760.52000004</v>
      </c>
      <c r="L18" s="166">
        <v>171347723.41</v>
      </c>
      <c r="M18" s="128">
        <f>VALTAX24!O23</f>
        <v>3.9430000000000003E-3</v>
      </c>
      <c r="N18" s="167">
        <f>(VALTAX24!D23/AFRAPR!M18)*L18</f>
        <v>61099391.101815864</v>
      </c>
      <c r="O18" s="164">
        <v>314808367.56999999</v>
      </c>
      <c r="P18" s="164">
        <v>36875602.649999999</v>
      </c>
      <c r="Q18" s="166">
        <v>6966992.2699999996</v>
      </c>
      <c r="R18" s="164">
        <v>2228658.13</v>
      </c>
      <c r="S18" s="168">
        <f t="shared" si="0"/>
        <v>421979011.72181582</v>
      </c>
      <c r="T18" s="168">
        <f t="shared" si="1"/>
        <v>110674748.79818422</v>
      </c>
      <c r="U18" s="62">
        <f>INDEX(FY25_LE_Data245[FY23 ADM - Grades K-12],MATCH(AFRAPR!B18,FY25_LE_Data245[ID],0))+INDEX(FY25_LE_Data245[FY23ADM - SPED Self-Contained],MATCH(AFRAPR!B18,FY25_LE_Data245[ID],0))</f>
        <v>57307.038888888885</v>
      </c>
      <c r="V18" s="175">
        <f t="shared" si="2"/>
        <v>1931.2592474507117</v>
      </c>
      <c r="W18" s="179">
        <f t="shared" si="3"/>
        <v>965.63</v>
      </c>
      <c r="Y18" s="157"/>
      <c r="Z18" s="37"/>
      <c r="AA18" s="158"/>
    </row>
    <row r="19" spans="1:27">
      <c r="A19" s="64" t="s">
        <v>170</v>
      </c>
      <c r="B19" s="63">
        <v>15</v>
      </c>
      <c r="C19" s="52" t="s">
        <v>57</v>
      </c>
      <c r="D19" s="163">
        <v>26043363.809999999</v>
      </c>
      <c r="E19" s="164">
        <v>4307190.71</v>
      </c>
      <c r="F19" s="165">
        <v>193905</v>
      </c>
      <c r="G19" s="165">
        <v>731156.25</v>
      </c>
      <c r="H19" s="166">
        <v>58776.97</v>
      </c>
      <c r="I19" s="165">
        <v>461390.67</v>
      </c>
      <c r="J19" s="165">
        <v>1839231.08</v>
      </c>
      <c r="K19" s="166">
        <f>D19+E19-H19-I19-J19</f>
        <v>27991155.799999997</v>
      </c>
      <c r="L19" s="166">
        <v>6273255.8200000003</v>
      </c>
      <c r="M19" s="128">
        <f>VALTAX24!O24</f>
        <v>3.7369999999999999E-3</v>
      </c>
      <c r="N19" s="167">
        <f>(VALTAX24!D24/AFRAPR!M19)*L19</f>
        <v>2360234.8629702972</v>
      </c>
      <c r="O19" s="164">
        <v>17873898.82</v>
      </c>
      <c r="P19" s="164">
        <v>1972664.15</v>
      </c>
      <c r="Q19" s="166">
        <v>17531.38</v>
      </c>
      <c r="R19" s="164">
        <v>0</v>
      </c>
      <c r="S19" s="168">
        <f t="shared" si="0"/>
        <v>22224329.212970294</v>
      </c>
      <c r="T19" s="168">
        <f t="shared" si="1"/>
        <v>5766826.587029703</v>
      </c>
      <c r="U19" s="62">
        <f>INDEX(FY25_LE_Data245[FY23 ADM - Grades K-12],MATCH(AFRAPR!B19,FY25_LE_Data245[ID],0))+INDEX(FY25_LE_Data245[FY23ADM - SPED Self-Contained],MATCH(AFRAPR!B19,FY25_LE_Data245[ID],0))</f>
        <v>2623.0833333333335</v>
      </c>
      <c r="V19" s="175">
        <f t="shared" si="2"/>
        <v>2198.4915666790494</v>
      </c>
      <c r="W19" s="179">
        <f t="shared" si="3"/>
        <v>1099.25</v>
      </c>
      <c r="Y19" s="157"/>
      <c r="Z19" s="37"/>
      <c r="AA19" s="158"/>
    </row>
    <row r="20" spans="1:27">
      <c r="A20" s="64" t="s">
        <v>171</v>
      </c>
      <c r="B20" s="63">
        <v>16</v>
      </c>
      <c r="C20" s="52" t="s">
        <v>58</v>
      </c>
      <c r="D20" s="163">
        <v>19203499.050000001</v>
      </c>
      <c r="E20" s="164">
        <v>12985310</v>
      </c>
      <c r="F20" s="165">
        <v>588613.41</v>
      </c>
      <c r="G20" s="165">
        <v>740000</v>
      </c>
      <c r="H20" s="166">
        <v>0</v>
      </c>
      <c r="I20" s="165">
        <v>0</v>
      </c>
      <c r="J20" s="165">
        <v>11095387.050000001</v>
      </c>
      <c r="K20" s="166">
        <f>D20+E20-H20-I20-J20</f>
        <v>21093422</v>
      </c>
      <c r="L20" s="166">
        <v>7731742</v>
      </c>
      <c r="M20" s="128">
        <f>VALTAX24!O25</f>
        <v>3.0689999999999997E-3</v>
      </c>
      <c r="N20" s="167">
        <f>(VALTAX24!D25/AFRAPR!M20)*L20</f>
        <v>3542140.5187357445</v>
      </c>
      <c r="O20" s="164">
        <v>10961478.029999999</v>
      </c>
      <c r="P20" s="164">
        <v>1281464.52</v>
      </c>
      <c r="Q20" s="166">
        <v>649822</v>
      </c>
      <c r="R20" s="164">
        <v>0</v>
      </c>
      <c r="S20" s="168">
        <f t="shared" si="0"/>
        <v>16434905.068735743</v>
      </c>
      <c r="T20" s="168">
        <f t="shared" si="1"/>
        <v>4658516.9312642571</v>
      </c>
      <c r="U20" s="62">
        <f>INDEX(FY25_LE_Data245[FY23 ADM - Grades K-12],MATCH(AFRAPR!B20,FY25_LE_Data245[ID],0))+INDEX(FY25_LE_Data245[FY23ADM - SPED Self-Contained],MATCH(AFRAPR!B20,FY25_LE_Data245[ID],0))</f>
        <v>1417.9666666666667</v>
      </c>
      <c r="V20" s="175">
        <f t="shared" si="2"/>
        <v>3285.350100799918</v>
      </c>
      <c r="W20" s="179">
        <f t="shared" si="3"/>
        <v>1642.68</v>
      </c>
      <c r="Y20" s="157"/>
      <c r="Z20" s="37"/>
      <c r="AA20" s="158"/>
    </row>
    <row r="21" spans="1:27">
      <c r="A21" s="64" t="s">
        <v>172</v>
      </c>
      <c r="B21" s="63">
        <v>17</v>
      </c>
      <c r="C21" s="52" t="s">
        <v>59</v>
      </c>
      <c r="D21" s="163">
        <v>37473526.039999999</v>
      </c>
      <c r="E21" s="164">
        <v>4363354.25</v>
      </c>
      <c r="F21" s="165">
        <v>22491.31</v>
      </c>
      <c r="G21" s="165">
        <v>1816205.9</v>
      </c>
      <c r="H21" s="166">
        <v>0</v>
      </c>
      <c r="I21" s="165">
        <v>1193712.8600000001</v>
      </c>
      <c r="J21" s="165">
        <v>88200</v>
      </c>
      <c r="K21" s="166">
        <f>D21+E21-H21-I21-J21</f>
        <v>40554967.43</v>
      </c>
      <c r="L21" s="166">
        <v>14507467.26</v>
      </c>
      <c r="M21" s="128">
        <f>VALTAX24!O26</f>
        <v>4.2989999999999999E-3</v>
      </c>
      <c r="N21" s="167">
        <f>(VALTAX24!D26/AFRAPR!M21)*L21</f>
        <v>4744707.8314863918</v>
      </c>
      <c r="O21" s="164">
        <v>20509861.84</v>
      </c>
      <c r="P21" s="164">
        <v>2854911.07</v>
      </c>
      <c r="Q21" s="166">
        <v>31123.119999999999</v>
      </c>
      <c r="R21" s="164">
        <v>242442.43</v>
      </c>
      <c r="S21" s="168">
        <f t="shared" si="0"/>
        <v>28383046.291486394</v>
      </c>
      <c r="T21" s="168">
        <f t="shared" si="1"/>
        <v>12171921.138513606</v>
      </c>
      <c r="U21" s="62">
        <f>INDEX(FY25_LE_Data245[FY23 ADM - Grades K-12],MATCH(AFRAPR!B21,FY25_LE_Data245[ID],0))+INDEX(FY25_LE_Data245[FY23ADM - SPED Self-Contained],MATCH(AFRAPR!B21,FY25_LE_Data245[ID],0))</f>
        <v>3097.2</v>
      </c>
      <c r="V21" s="175">
        <f t="shared" si="2"/>
        <v>3929.9758293018231</v>
      </c>
      <c r="W21" s="179">
        <f t="shared" si="3"/>
        <v>1964.99</v>
      </c>
      <c r="Y21" s="157"/>
      <c r="Z21" s="37"/>
      <c r="AA21" s="158"/>
    </row>
    <row r="22" spans="1:27">
      <c r="A22" s="64" t="s">
        <v>173</v>
      </c>
      <c r="B22" s="63">
        <v>18</v>
      </c>
      <c r="C22" s="52" t="s">
        <v>60</v>
      </c>
      <c r="D22" s="163">
        <v>29257097.09</v>
      </c>
      <c r="E22" s="164">
        <v>3796569.33</v>
      </c>
      <c r="F22" s="165">
        <v>56519.18</v>
      </c>
      <c r="G22" s="165">
        <v>424707.91</v>
      </c>
      <c r="H22" s="166">
        <v>1103216.93</v>
      </c>
      <c r="I22" s="165">
        <v>1459178.48</v>
      </c>
      <c r="J22" s="165">
        <v>67751.5</v>
      </c>
      <c r="K22" s="166">
        <f>D22+E22-H22-I22-J22</f>
        <v>30423519.510000002</v>
      </c>
      <c r="L22" s="166">
        <v>7722402.1500000004</v>
      </c>
      <c r="M22" s="128">
        <f>VALTAX24!O27</f>
        <v>3.5409999999999999E-3</v>
      </c>
      <c r="N22" s="167">
        <f>(VALTAX24!D27/AFRAPR!M22)*L22</f>
        <v>3066279.983874612</v>
      </c>
      <c r="O22" s="164">
        <v>20720958.719999999</v>
      </c>
      <c r="P22" s="164">
        <v>692232.13</v>
      </c>
      <c r="Q22" s="166">
        <v>30729.16</v>
      </c>
      <c r="R22" s="164">
        <v>44581.120000000003</v>
      </c>
      <c r="S22" s="168">
        <f t="shared" si="0"/>
        <v>24554781.113874611</v>
      </c>
      <c r="T22" s="168">
        <f t="shared" si="1"/>
        <v>5868738.3961253911</v>
      </c>
      <c r="U22" s="62">
        <f>INDEX(FY25_LE_Data245[FY23 ADM - Grades K-12],MATCH(AFRAPR!B22,FY25_LE_Data245[ID],0))+INDEX(FY25_LE_Data245[FY23ADM - SPED Self-Contained],MATCH(AFRAPR!B22,FY25_LE_Data245[ID],0))</f>
        <v>3276.7277777777786</v>
      </c>
      <c r="V22" s="175">
        <f t="shared" si="2"/>
        <v>1791.0363002768177</v>
      </c>
      <c r="W22" s="179">
        <f t="shared" si="3"/>
        <v>895.52</v>
      </c>
      <c r="Y22" s="157"/>
      <c r="Z22" s="37"/>
      <c r="AA22" s="158"/>
    </row>
    <row r="23" spans="1:27">
      <c r="A23" s="64" t="s">
        <v>174</v>
      </c>
      <c r="B23" s="63">
        <v>19</v>
      </c>
      <c r="C23" s="52" t="s">
        <v>61</v>
      </c>
      <c r="D23" s="163">
        <v>314676874.36000001</v>
      </c>
      <c r="E23" s="164">
        <v>108763158.06</v>
      </c>
      <c r="F23" s="165">
        <v>2554740.25</v>
      </c>
      <c r="G23" s="165">
        <v>1840000</v>
      </c>
      <c r="H23" s="166">
        <v>101323.54</v>
      </c>
      <c r="I23" s="165">
        <v>4769656.59</v>
      </c>
      <c r="J23" s="165">
        <v>97147896.069999993</v>
      </c>
      <c r="K23" s="166">
        <f>D23+E23-H23-I23-J23</f>
        <v>321421156.22000003</v>
      </c>
      <c r="L23" s="166">
        <v>74537699.890000001</v>
      </c>
      <c r="M23" s="128">
        <f>VALTAX24!O28</f>
        <v>3.8649999999999999E-3</v>
      </c>
      <c r="N23" s="167">
        <f>(VALTAX24!D28/AFRAPR!M23)*L23</f>
        <v>27115137.398535576</v>
      </c>
      <c r="O23" s="164">
        <v>225558763.15000001</v>
      </c>
      <c r="P23" s="164">
        <v>23047587.350000001</v>
      </c>
      <c r="Q23" s="166">
        <v>13909937.890000001</v>
      </c>
      <c r="R23" s="164">
        <v>0</v>
      </c>
      <c r="S23" s="168">
        <f t="shared" si="0"/>
        <v>289631425.78853559</v>
      </c>
      <c r="T23" s="168">
        <f t="shared" si="1"/>
        <v>31789730.431464434</v>
      </c>
      <c r="U23" s="62">
        <f>INDEX(FY25_LE_Data245[FY23 ADM - Grades K-12],MATCH(AFRAPR!B23,FY25_LE_Data245[ID],0))+INDEX(FY25_LE_Data245[FY23ADM - SPED Self-Contained],MATCH(AFRAPR!B23,FY25_LE_Data245[ID],0))</f>
        <v>35978.261111111111</v>
      </c>
      <c r="V23" s="175">
        <f t="shared" si="2"/>
        <v>883.58162539564375</v>
      </c>
      <c r="W23" s="179">
        <f t="shared" si="3"/>
        <v>441.79</v>
      </c>
      <c r="Y23" s="157"/>
      <c r="Z23" s="37"/>
      <c r="AA23" s="158"/>
    </row>
    <row r="24" spans="1:27">
      <c r="A24" s="64" t="s">
        <v>175</v>
      </c>
      <c r="B24" s="63">
        <v>20</v>
      </c>
      <c r="C24" s="52" t="s">
        <v>62</v>
      </c>
      <c r="D24" s="163">
        <v>30252272.050000001</v>
      </c>
      <c r="E24" s="164">
        <v>2216916.81</v>
      </c>
      <c r="F24" s="165">
        <v>0</v>
      </c>
      <c r="G24" s="165">
        <v>0</v>
      </c>
      <c r="H24" s="166">
        <v>1577106.86</v>
      </c>
      <c r="I24" s="165">
        <v>61701.45</v>
      </c>
      <c r="J24" s="165">
        <v>0</v>
      </c>
      <c r="K24" s="166">
        <f>D24+E24-H24-I24-J24</f>
        <v>30830380.550000001</v>
      </c>
      <c r="L24" s="166">
        <v>5479434.9900000002</v>
      </c>
      <c r="M24" s="128">
        <f>VALTAX24!O29</f>
        <v>3.46E-3</v>
      </c>
      <c r="N24" s="167">
        <f>(VALTAX24!D29/AFRAPR!M24)*L24</f>
        <v>2226614.3340867055</v>
      </c>
      <c r="O24" s="164">
        <v>21114503.050000001</v>
      </c>
      <c r="P24" s="164">
        <v>3558880.52</v>
      </c>
      <c r="Q24" s="166">
        <v>843111.99</v>
      </c>
      <c r="R24" s="164">
        <v>0</v>
      </c>
      <c r="S24" s="168">
        <f t="shared" si="0"/>
        <v>27743109.894086704</v>
      </c>
      <c r="T24" s="168">
        <f t="shared" si="1"/>
        <v>3087270.6559132971</v>
      </c>
      <c r="U24" s="62">
        <f>INDEX(FY25_LE_Data245[FY23 ADM - Grades K-12],MATCH(AFRAPR!B24,FY25_LE_Data245[ID],0))+INDEX(FY25_LE_Data245[FY23ADM - SPED Self-Contained],MATCH(AFRAPR!B24,FY25_LE_Data245[ID],0))</f>
        <v>2492.1388888888891</v>
      </c>
      <c r="V24" s="175">
        <f t="shared" si="2"/>
        <v>1238.8036114992553</v>
      </c>
      <c r="W24" s="179">
        <f t="shared" si="3"/>
        <v>619.4</v>
      </c>
      <c r="Y24" s="157"/>
      <c r="Z24" s="37"/>
      <c r="AA24" s="158"/>
    </row>
    <row r="25" spans="1:27">
      <c r="A25" s="64" t="s">
        <v>176</v>
      </c>
      <c r="B25" s="63">
        <v>21</v>
      </c>
      <c r="C25" s="52" t="s">
        <v>63</v>
      </c>
      <c r="D25" s="163">
        <v>14561651.380000001</v>
      </c>
      <c r="E25" s="164">
        <v>2198332.2400000002</v>
      </c>
      <c r="F25" s="165">
        <v>0</v>
      </c>
      <c r="G25" s="165">
        <v>0</v>
      </c>
      <c r="H25" s="166">
        <v>29789.14</v>
      </c>
      <c r="I25" s="165">
        <v>1706824.47</v>
      </c>
      <c r="J25" s="165">
        <v>0</v>
      </c>
      <c r="K25" s="166">
        <f>D25+E25-H25-I25-J25</f>
        <v>15023370.01</v>
      </c>
      <c r="L25" s="166">
        <v>9428325.2400000002</v>
      </c>
      <c r="M25" s="128">
        <f>VALTAX24!O30</f>
        <v>2.6559999999999999E-3</v>
      </c>
      <c r="N25" s="167">
        <f>(VALTAX24!D30/AFRAPR!M25)*L25</f>
        <v>4991048.6775000002</v>
      </c>
      <c r="O25" s="164">
        <v>4482172.18</v>
      </c>
      <c r="P25" s="164">
        <v>444515.22</v>
      </c>
      <c r="Q25" s="166">
        <v>609748.57999999996</v>
      </c>
      <c r="R25" s="164">
        <v>0</v>
      </c>
      <c r="S25" s="168">
        <f t="shared" si="0"/>
        <v>10527484.657500001</v>
      </c>
      <c r="T25" s="168">
        <f t="shared" si="1"/>
        <v>4495885.3524999991</v>
      </c>
      <c r="U25" s="62">
        <f>INDEX(FY25_LE_Data245[FY23 ADM - Grades K-12],MATCH(AFRAPR!B25,FY25_LE_Data245[ID],0))+INDEX(FY25_LE_Data245[FY23ADM - SPED Self-Contained],MATCH(AFRAPR!B25,FY25_LE_Data245[ID],0))</f>
        <v>1025.3944444444444</v>
      </c>
      <c r="V25" s="175">
        <f t="shared" si="2"/>
        <v>4384.5423357407171</v>
      </c>
      <c r="W25" s="179">
        <f t="shared" si="3"/>
        <v>2192.27</v>
      </c>
      <c r="Y25" s="157"/>
      <c r="Z25" s="37"/>
      <c r="AA25" s="158"/>
    </row>
    <row r="26" spans="1:27">
      <c r="A26" s="64" t="s">
        <v>177</v>
      </c>
      <c r="B26" s="63">
        <v>22</v>
      </c>
      <c r="C26" s="52" t="s">
        <v>64</v>
      </c>
      <c r="D26" s="163">
        <v>101637727</v>
      </c>
      <c r="E26" s="164">
        <v>33255548</v>
      </c>
      <c r="F26" s="165">
        <v>1060453</v>
      </c>
      <c r="G26" s="165">
        <v>1745000</v>
      </c>
      <c r="H26" s="166">
        <v>672395</v>
      </c>
      <c r="I26" s="165">
        <v>178356</v>
      </c>
      <c r="J26" s="165">
        <v>27202296</v>
      </c>
      <c r="K26" s="166">
        <f>D26+E26-H26-I26-J26</f>
        <v>106840228</v>
      </c>
      <c r="L26" s="166">
        <v>95649608</v>
      </c>
      <c r="M26" s="128">
        <f>VALTAX24!O31</f>
        <v>3.1020000000000002E-3</v>
      </c>
      <c r="N26" s="167">
        <f>(VALTAX24!D31/AFRAPR!M26)*L26</f>
        <v>43353755.270148285</v>
      </c>
      <c r="O26" s="164">
        <v>7104994</v>
      </c>
      <c r="P26" s="164">
        <v>2583568</v>
      </c>
      <c r="Q26" s="166">
        <v>995076</v>
      </c>
      <c r="R26" s="164">
        <v>0</v>
      </c>
      <c r="S26" s="168">
        <f t="shared" si="0"/>
        <v>54037393.270148285</v>
      </c>
      <c r="T26" s="168">
        <f t="shared" si="1"/>
        <v>52802834.729851715</v>
      </c>
      <c r="U26" s="62">
        <f>INDEX(FY25_LE_Data245[FY23 ADM - Grades K-12],MATCH(AFRAPR!B26,FY25_LE_Data245[ID],0))+INDEX(FY25_LE_Data245[FY23ADM - SPED Self-Contained],MATCH(AFRAPR!B26,FY25_LE_Data245[ID],0))</f>
        <v>4288.2555555555555</v>
      </c>
      <c r="V26" s="175">
        <f t="shared" si="2"/>
        <v>12313.360070493971</v>
      </c>
      <c r="W26" s="179">
        <f t="shared" si="3"/>
        <v>6156.68</v>
      </c>
      <c r="Y26" s="157"/>
      <c r="Z26" s="37"/>
      <c r="AA26" s="158"/>
    </row>
    <row r="27" spans="1:27">
      <c r="A27" s="64" t="s">
        <v>178</v>
      </c>
      <c r="B27" s="63">
        <v>23</v>
      </c>
      <c r="C27" s="52" t="s">
        <v>65</v>
      </c>
      <c r="D27" s="163">
        <v>6177219.0599999996</v>
      </c>
      <c r="E27" s="164">
        <v>277150.65999999997</v>
      </c>
      <c r="F27" s="165">
        <v>84028.5</v>
      </c>
      <c r="G27" s="165">
        <v>20958.32</v>
      </c>
      <c r="H27" s="166">
        <v>0</v>
      </c>
      <c r="I27" s="165">
        <v>170663.84</v>
      </c>
      <c r="J27" s="165">
        <v>0</v>
      </c>
      <c r="K27" s="166">
        <f>D27+E27-H27-I27-J27</f>
        <v>6283705.8799999999</v>
      </c>
      <c r="L27" s="166">
        <v>677113.52</v>
      </c>
      <c r="M27" s="128">
        <f>VALTAX24!O32</f>
        <v>3.2389999999999997E-3</v>
      </c>
      <c r="N27" s="167">
        <f>(VALTAX24!D32/AFRAPR!M27)*L27</f>
        <v>293924.54742821859</v>
      </c>
      <c r="O27" s="164">
        <v>5458221.3099999996</v>
      </c>
      <c r="P27" s="164">
        <v>681888.49</v>
      </c>
      <c r="Q27" s="166">
        <v>732212.12</v>
      </c>
      <c r="R27" s="164">
        <v>129028.08</v>
      </c>
      <c r="S27" s="168">
        <f t="shared" si="0"/>
        <v>7295274.5474282186</v>
      </c>
      <c r="T27" s="168">
        <f t="shared" si="1"/>
        <v>-1011568.6674282188</v>
      </c>
      <c r="U27" s="62">
        <f>INDEX(FY25_LE_Data245[FY23 ADM - Grades K-12],MATCH(AFRAPR!B27,FY25_LE_Data245[ID],0))+INDEX(FY25_LE_Data245[FY23ADM - SPED Self-Contained],MATCH(AFRAPR!B27,FY25_LE_Data245[ID],0))</f>
        <v>264.37222222222226</v>
      </c>
      <c r="V27" s="175">
        <f t="shared" si="2"/>
        <v>-3826.3046659188299</v>
      </c>
      <c r="W27" s="179">
        <f t="shared" si="3"/>
        <v>0</v>
      </c>
      <c r="Y27" s="157"/>
      <c r="Z27" s="37"/>
      <c r="AA27" s="158"/>
    </row>
    <row r="28" spans="1:27">
      <c r="A28" s="64" t="s">
        <v>179</v>
      </c>
      <c r="B28" s="63">
        <v>24</v>
      </c>
      <c r="C28" s="52" t="s">
        <v>66</v>
      </c>
      <c r="D28" s="163">
        <v>10892638.68</v>
      </c>
      <c r="E28" s="164">
        <v>454127.29</v>
      </c>
      <c r="F28" s="165">
        <v>0</v>
      </c>
      <c r="G28" s="165">
        <v>0</v>
      </c>
      <c r="H28" s="166">
        <v>5000</v>
      </c>
      <c r="I28" s="165">
        <v>0</v>
      </c>
      <c r="J28" s="165">
        <v>224787.6</v>
      </c>
      <c r="K28" s="166">
        <f>D28+E28-H28-I28-J28</f>
        <v>11116978.369999999</v>
      </c>
      <c r="L28" s="166">
        <v>6483869.3399999999</v>
      </c>
      <c r="M28" s="128">
        <f>VALTAX24!O33</f>
        <v>2.745E-3</v>
      </c>
      <c r="N28" s="167">
        <f>(VALTAX24!D33/AFRAPR!M28)*L28</f>
        <v>3321063.8586666663</v>
      </c>
      <c r="O28" s="164">
        <v>4153134.22</v>
      </c>
      <c r="P28" s="164">
        <v>475409.45</v>
      </c>
      <c r="Q28" s="166">
        <v>50000</v>
      </c>
      <c r="R28" s="164">
        <v>0</v>
      </c>
      <c r="S28" s="168">
        <f t="shared" si="0"/>
        <v>7999607.5286666667</v>
      </c>
      <c r="T28" s="168">
        <f t="shared" si="1"/>
        <v>3117370.8413333325</v>
      </c>
      <c r="U28" s="62">
        <f>INDEX(FY25_LE_Data245[FY23 ADM - Grades K-12],MATCH(AFRAPR!B28,FY25_LE_Data245[ID],0))+INDEX(FY25_LE_Data245[FY23ADM - SPED Self-Contained],MATCH(AFRAPR!B28,FY25_LE_Data245[ID],0))</f>
        <v>501.50000000000006</v>
      </c>
      <c r="V28" s="175">
        <f t="shared" si="2"/>
        <v>6216.0934024592862</v>
      </c>
      <c r="W28" s="179">
        <f t="shared" si="3"/>
        <v>3108.05</v>
      </c>
      <c r="Y28" s="157"/>
      <c r="Z28" s="37"/>
      <c r="AA28" s="158"/>
    </row>
    <row r="29" spans="1:27">
      <c r="A29" s="64" t="s">
        <v>180</v>
      </c>
      <c r="B29" s="63">
        <v>25</v>
      </c>
      <c r="C29" s="52" t="s">
        <v>67</v>
      </c>
      <c r="D29" s="163">
        <v>48652737.390000001</v>
      </c>
      <c r="E29" s="164">
        <v>1945522.76</v>
      </c>
      <c r="F29" s="165">
        <v>0</v>
      </c>
      <c r="G29" s="165">
        <v>0</v>
      </c>
      <c r="H29" s="166">
        <v>0</v>
      </c>
      <c r="I29" s="165">
        <v>0</v>
      </c>
      <c r="J29" s="165">
        <v>1185386.8600000001</v>
      </c>
      <c r="K29" s="166">
        <f>D29+E29-H29-I29-J29</f>
        <v>49412873.289999999</v>
      </c>
      <c r="L29" s="166">
        <v>3935484.66</v>
      </c>
      <c r="M29" s="128">
        <f>VALTAX24!O34</f>
        <v>3.7819999999999998E-3</v>
      </c>
      <c r="N29" s="167">
        <f>(VALTAX24!D34/AFRAPR!M29)*L29</f>
        <v>1463059.6065468006</v>
      </c>
      <c r="O29" s="164">
        <v>34295883.039999999</v>
      </c>
      <c r="P29" s="164">
        <v>13947249.09</v>
      </c>
      <c r="Q29" s="166">
        <v>4043421.8</v>
      </c>
      <c r="R29" s="164">
        <v>3799764.05</v>
      </c>
      <c r="S29" s="168">
        <f t="shared" si="0"/>
        <v>57549377.586546794</v>
      </c>
      <c r="T29" s="168">
        <f t="shared" si="1"/>
        <v>-8136504.2965467945</v>
      </c>
      <c r="U29" s="62">
        <f>INDEX(FY25_LE_Data245[FY23 ADM - Grades K-12],MATCH(AFRAPR!B29,FY25_LE_Data245[ID],0))+INDEX(FY25_LE_Data245[FY23ADM - SPED Self-Contained],MATCH(AFRAPR!B29,FY25_LE_Data245[ID],0))</f>
        <v>2859.0277777777778</v>
      </c>
      <c r="V29" s="175">
        <f t="shared" si="2"/>
        <v>-2845.8990009782328</v>
      </c>
      <c r="W29" s="179">
        <f t="shared" si="3"/>
        <v>0</v>
      </c>
      <c r="Y29" s="157"/>
      <c r="Z29" s="37"/>
      <c r="AA29" s="158"/>
    </row>
    <row r="30" spans="1:27">
      <c r="A30" s="64" t="s">
        <v>181</v>
      </c>
      <c r="B30" s="63">
        <v>26</v>
      </c>
      <c r="C30" s="52" t="s">
        <v>68</v>
      </c>
      <c r="D30" s="163">
        <v>51780230.390000001</v>
      </c>
      <c r="E30" s="164">
        <v>354150</v>
      </c>
      <c r="F30" s="165">
        <v>350300</v>
      </c>
      <c r="G30" s="165">
        <v>0</v>
      </c>
      <c r="H30" s="166">
        <v>0</v>
      </c>
      <c r="I30" s="165">
        <v>0</v>
      </c>
      <c r="J30" s="165">
        <v>0</v>
      </c>
      <c r="K30" s="166">
        <f>D30+E30-H30-I30-J30</f>
        <v>52134380.390000001</v>
      </c>
      <c r="L30" s="166">
        <v>9699477.8699999992</v>
      </c>
      <c r="M30" s="128">
        <f>VALTAX24!O35</f>
        <v>3.3759999999999997E-3</v>
      </c>
      <c r="N30" s="167">
        <f>(VALTAX24!D35/AFRAPR!M30)*L30</f>
        <v>4039533.7337736962</v>
      </c>
      <c r="O30" s="164">
        <v>36904928.119999997</v>
      </c>
      <c r="P30" s="164">
        <v>7644799.6799999997</v>
      </c>
      <c r="Q30" s="166">
        <v>247435</v>
      </c>
      <c r="R30" s="164">
        <v>628169.46</v>
      </c>
      <c r="S30" s="168">
        <f t="shared" si="0"/>
        <v>49464865.993773691</v>
      </c>
      <c r="T30" s="168">
        <f t="shared" si="1"/>
        <v>2669514.3962263092</v>
      </c>
      <c r="U30" s="62">
        <f>INDEX(FY25_LE_Data245[FY23 ADM - Grades K-12],MATCH(AFRAPR!B30,FY25_LE_Data245[ID],0))+INDEX(FY25_LE_Data245[FY23ADM - SPED Self-Contained],MATCH(AFRAPR!B30,FY25_LE_Data245[ID],0))</f>
        <v>4532.5111111111109</v>
      </c>
      <c r="V30" s="175">
        <f t="shared" si="2"/>
        <v>588.97029279910532</v>
      </c>
      <c r="W30" s="179">
        <f t="shared" si="3"/>
        <v>294.49</v>
      </c>
      <c r="Y30" s="157"/>
      <c r="Z30" s="37"/>
      <c r="AA30" s="158"/>
    </row>
    <row r="31" spans="1:27">
      <c r="A31" s="64" t="s">
        <v>182</v>
      </c>
      <c r="B31" s="63">
        <v>27</v>
      </c>
      <c r="C31" s="52" t="s">
        <v>69</v>
      </c>
      <c r="D31" s="163">
        <v>36377583.109999999</v>
      </c>
      <c r="E31" s="164">
        <v>3247088.29</v>
      </c>
      <c r="F31" s="165">
        <v>9810</v>
      </c>
      <c r="G31" s="165">
        <v>510000</v>
      </c>
      <c r="H31" s="166">
        <v>0</v>
      </c>
      <c r="I31" s="165">
        <v>28062</v>
      </c>
      <c r="J31" s="165">
        <v>2152243.96</v>
      </c>
      <c r="K31" s="166">
        <f>D31+E31-H31-I31-J31</f>
        <v>37444365.439999998</v>
      </c>
      <c r="L31" s="166">
        <v>4834979.82</v>
      </c>
      <c r="M31" s="128">
        <f>VALTAX24!O36</f>
        <v>3.6389999999999999E-3</v>
      </c>
      <c r="N31" s="167">
        <f>(VALTAX24!D36/AFRAPR!M31)*L31</f>
        <v>1868090.5817312449</v>
      </c>
      <c r="O31" s="164">
        <v>29751318.25</v>
      </c>
      <c r="P31" s="164">
        <v>4213661.97</v>
      </c>
      <c r="Q31" s="166">
        <v>1718797</v>
      </c>
      <c r="R31" s="164">
        <v>0</v>
      </c>
      <c r="S31" s="168">
        <f t="shared" si="0"/>
        <v>37551867.801731244</v>
      </c>
      <c r="T31" s="168">
        <f t="shared" si="1"/>
        <v>-107502.36173124611</v>
      </c>
      <c r="U31" s="62">
        <f>INDEX(FY25_LE_Data245[FY23 ADM - Grades K-12],MATCH(AFRAPR!B31,FY25_LE_Data245[ID],0))+INDEX(FY25_LE_Data245[FY23ADM - SPED Self-Contained],MATCH(AFRAPR!B31,FY25_LE_Data245[ID],0))</f>
        <v>3134.922222222222</v>
      </c>
      <c r="V31" s="175">
        <f t="shared" si="2"/>
        <v>-34.291875239903703</v>
      </c>
      <c r="W31" s="179">
        <f t="shared" si="3"/>
        <v>0</v>
      </c>
      <c r="Y31" s="157"/>
      <c r="Z31" s="37"/>
      <c r="AA31" s="158"/>
    </row>
    <row r="32" spans="1:27">
      <c r="A32" s="64" t="s">
        <v>183</v>
      </c>
      <c r="B32" s="63">
        <v>28</v>
      </c>
      <c r="C32" s="52" t="s">
        <v>70</v>
      </c>
      <c r="D32" s="163">
        <v>23593511.559999999</v>
      </c>
      <c r="E32" s="164">
        <v>4112747.99</v>
      </c>
      <c r="F32" s="165">
        <v>0</v>
      </c>
      <c r="G32" s="165">
        <v>0</v>
      </c>
      <c r="H32" s="166">
        <v>15695</v>
      </c>
      <c r="I32" s="165">
        <v>27299.07</v>
      </c>
      <c r="J32" s="165">
        <v>3568913.06</v>
      </c>
      <c r="K32" s="166">
        <f>D32+E32-H32-I32-J32</f>
        <v>24094352.419999998</v>
      </c>
      <c r="L32" s="166">
        <v>16291701.74</v>
      </c>
      <c r="M32" s="128">
        <f>VALTAX24!O37</f>
        <v>3.0149999999999999E-3</v>
      </c>
      <c r="N32" s="167">
        <f>(VALTAX24!D37/AFRAPR!M32)*L32</f>
        <v>7597390.595834163</v>
      </c>
      <c r="O32" s="164">
        <v>5863754.2000000002</v>
      </c>
      <c r="P32" s="164">
        <v>749935.92</v>
      </c>
      <c r="Q32" s="166">
        <v>0</v>
      </c>
      <c r="R32" s="164">
        <v>0</v>
      </c>
      <c r="S32" s="168">
        <f t="shared" si="0"/>
        <v>14211080.715834163</v>
      </c>
      <c r="T32" s="168">
        <f t="shared" si="1"/>
        <v>9883271.7041658349</v>
      </c>
      <c r="U32" s="62">
        <f>INDEX(FY25_LE_Data245[FY23 ADM - Grades K-12],MATCH(AFRAPR!B32,FY25_LE_Data245[ID],0))+INDEX(FY25_LE_Data245[FY23ADM - SPED Self-Contained],MATCH(AFRAPR!B32,FY25_LE_Data245[ID],0))</f>
        <v>1667.4555555555555</v>
      </c>
      <c r="V32" s="175">
        <f t="shared" si="2"/>
        <v>5927.1575012822277</v>
      </c>
      <c r="W32" s="179">
        <f t="shared" si="3"/>
        <v>2963.58</v>
      </c>
      <c r="Y32" s="157"/>
      <c r="Z32" s="37"/>
      <c r="AA32" s="158"/>
    </row>
    <row r="33" spans="1:27">
      <c r="A33" s="64" t="s">
        <v>184</v>
      </c>
      <c r="B33" s="63">
        <v>29</v>
      </c>
      <c r="C33" s="52" t="s">
        <v>71</v>
      </c>
      <c r="D33" s="163">
        <v>5549193.8899999997</v>
      </c>
      <c r="E33" s="164">
        <v>500585.21</v>
      </c>
      <c r="F33" s="165">
        <v>0</v>
      </c>
      <c r="G33" s="165">
        <v>0</v>
      </c>
      <c r="H33" s="166">
        <v>496404.25</v>
      </c>
      <c r="I33" s="165">
        <v>4180.96</v>
      </c>
      <c r="J33" s="165">
        <v>0</v>
      </c>
      <c r="K33" s="166">
        <f>D33+E33-H33-I33-J33</f>
        <v>5549193.8899999997</v>
      </c>
      <c r="L33" s="166">
        <v>481796.47</v>
      </c>
      <c r="M33" s="128">
        <f>VALTAX24!O38</f>
        <v>4.1380000000000002E-3</v>
      </c>
      <c r="N33" s="167">
        <f>(VALTAX24!D38/AFRAPR!M33)*L33</f>
        <v>163703.68217013049</v>
      </c>
      <c r="O33" s="164">
        <v>5594908.7000000002</v>
      </c>
      <c r="P33" s="164">
        <v>330475.73</v>
      </c>
      <c r="Q33" s="166">
        <v>200000</v>
      </c>
      <c r="R33" s="164">
        <v>0</v>
      </c>
      <c r="S33" s="168">
        <f t="shared" si="0"/>
        <v>6289088.11217013</v>
      </c>
      <c r="T33" s="168">
        <f t="shared" si="1"/>
        <v>-739894.22217013035</v>
      </c>
      <c r="U33" s="62">
        <f>INDEX(FY25_LE_Data245[FY23 ADM - Grades K-12],MATCH(AFRAPR!B33,FY25_LE_Data245[ID],0))+INDEX(FY25_LE_Data245[FY23ADM - SPED Self-Contained],MATCH(AFRAPR!B33,FY25_LE_Data245[ID],0))</f>
        <v>253.82222222222228</v>
      </c>
      <c r="V33" s="175">
        <f t="shared" si="2"/>
        <v>-2915.0096303323285</v>
      </c>
      <c r="W33" s="179">
        <f t="shared" si="3"/>
        <v>0</v>
      </c>
      <c r="Y33" s="157"/>
      <c r="Z33" s="37"/>
      <c r="AA33" s="158"/>
    </row>
    <row r="34" spans="1:27">
      <c r="A34" s="64" t="s">
        <v>185</v>
      </c>
      <c r="B34" s="63">
        <v>30</v>
      </c>
      <c r="C34" s="52" t="s">
        <v>72</v>
      </c>
      <c r="D34" s="163">
        <v>196407598.55000001</v>
      </c>
      <c r="E34" s="164">
        <v>75274752.420000002</v>
      </c>
      <c r="F34" s="165">
        <v>511822.99</v>
      </c>
      <c r="G34" s="165">
        <v>892388.3</v>
      </c>
      <c r="H34" s="166">
        <v>220666.03</v>
      </c>
      <c r="I34" s="165">
        <v>1152703.8400000001</v>
      </c>
      <c r="J34" s="165">
        <v>64641447.119999997</v>
      </c>
      <c r="K34" s="166">
        <f>D34+E34-H34-I34-J34</f>
        <v>205667533.98000008</v>
      </c>
      <c r="L34" s="166">
        <v>37110113</v>
      </c>
      <c r="M34" s="128">
        <f>VALTAX24!O39</f>
        <v>3.8110000000000002E-3</v>
      </c>
      <c r="N34" s="167">
        <f>(VALTAX24!D39/AFRAPR!M34)*L34</f>
        <v>13691109.650485436</v>
      </c>
      <c r="O34" s="164">
        <v>161663123.21000001</v>
      </c>
      <c r="P34" s="164">
        <v>11034022.66</v>
      </c>
      <c r="Q34" s="166">
        <v>14451547.35</v>
      </c>
      <c r="R34" s="164">
        <v>298742.40000000002</v>
      </c>
      <c r="S34" s="168">
        <f t="shared" si="0"/>
        <v>201138545.27048543</v>
      </c>
      <c r="T34" s="168">
        <f t="shared" si="1"/>
        <v>4528988.7095146477</v>
      </c>
      <c r="U34" s="62">
        <f>INDEX(FY25_LE_Data245[FY23 ADM - Grades K-12],MATCH(AFRAPR!B34,FY25_LE_Data245[ID],0))+INDEX(FY25_LE_Data245[FY23ADM - SPED Self-Contained],MATCH(AFRAPR!B34,FY25_LE_Data245[ID],0))</f>
        <v>23573.783333333333</v>
      </c>
      <c r="V34" s="175">
        <f t="shared" si="2"/>
        <v>192.11972238290053</v>
      </c>
      <c r="W34" s="179">
        <f t="shared" si="3"/>
        <v>96.06</v>
      </c>
      <c r="Y34" s="157"/>
      <c r="Z34" s="37"/>
      <c r="AA34" s="158"/>
    </row>
    <row r="35" spans="1:27">
      <c r="A35" s="64" t="s">
        <v>186</v>
      </c>
      <c r="B35" s="63">
        <v>31</v>
      </c>
      <c r="C35" s="52" t="s">
        <v>109</v>
      </c>
      <c r="D35" s="163">
        <v>71108718.780000001</v>
      </c>
      <c r="E35" s="164">
        <v>6946166.0499999998</v>
      </c>
      <c r="F35" s="165">
        <v>0</v>
      </c>
      <c r="G35" s="165">
        <v>0</v>
      </c>
      <c r="H35" s="166">
        <v>0</v>
      </c>
      <c r="I35" s="165">
        <v>0</v>
      </c>
      <c r="J35" s="165">
        <v>2327397.16</v>
      </c>
      <c r="K35" s="166">
        <f>D35+E35-H35-I35-J35</f>
        <v>75727487.670000002</v>
      </c>
      <c r="L35" s="166">
        <v>20656485.600000001</v>
      </c>
      <c r="M35" s="128">
        <f>VALTAX24!O40</f>
        <v>3.5929999999999998E-3</v>
      </c>
      <c r="N35" s="167">
        <f>(VALTAX24!D40/AFRAPR!M35)*L35</f>
        <v>8083222.5865850272</v>
      </c>
      <c r="O35" s="164">
        <v>44700407.560000002</v>
      </c>
      <c r="P35" s="164">
        <v>7550041.0099999998</v>
      </c>
      <c r="Q35" s="166">
        <v>0</v>
      </c>
      <c r="R35" s="164">
        <v>200000</v>
      </c>
      <c r="S35" s="168">
        <f t="shared" si="0"/>
        <v>60533671.15658503</v>
      </c>
      <c r="T35" s="168">
        <f t="shared" si="1"/>
        <v>15193816.513414972</v>
      </c>
      <c r="U35" s="62">
        <f>INDEX(FY25_LE_Data245[FY23 ADM - Grades K-12],MATCH(AFRAPR!B35,FY25_LE_Data245[ID],0))+INDEX(FY25_LE_Data245[FY23ADM - SPED Self-Contained],MATCH(AFRAPR!B35,FY25_LE_Data245[ID],0))</f>
        <v>6658.0055555555564</v>
      </c>
      <c r="V35" s="175">
        <f t="shared" si="2"/>
        <v>2282.0372237053762</v>
      </c>
      <c r="W35" s="179">
        <f t="shared" si="3"/>
        <v>1141.02</v>
      </c>
      <c r="Y35" s="157"/>
      <c r="Z35" s="37"/>
      <c r="AA35" s="158"/>
    </row>
    <row r="36" spans="1:27">
      <c r="A36" s="64" t="s">
        <v>187</v>
      </c>
      <c r="B36" s="63">
        <v>32</v>
      </c>
      <c r="C36" s="52" t="s">
        <v>73</v>
      </c>
      <c r="D36" s="163">
        <v>95794796</v>
      </c>
      <c r="E36" s="164">
        <v>41142052</v>
      </c>
      <c r="F36" s="165">
        <v>0</v>
      </c>
      <c r="G36" s="165">
        <v>24676462</v>
      </c>
      <c r="H36" s="166">
        <v>953291</v>
      </c>
      <c r="I36" s="165">
        <v>8537671</v>
      </c>
      <c r="J36" s="165">
        <v>0</v>
      </c>
      <c r="K36" s="166">
        <f>D36+E36-H36-I36-J36</f>
        <v>127445886</v>
      </c>
      <c r="L36" s="166">
        <v>54554978</v>
      </c>
      <c r="M36" s="128">
        <f>VALTAX24!O41</f>
        <v>4.169E-3</v>
      </c>
      <c r="N36" s="167">
        <f>(VALTAX24!D41/AFRAPR!M36)*L36</f>
        <v>18398728.488366514</v>
      </c>
      <c r="O36" s="164">
        <v>35813580</v>
      </c>
      <c r="P36" s="164">
        <v>6359320</v>
      </c>
      <c r="Q36" s="166">
        <v>1283023</v>
      </c>
      <c r="R36" s="164">
        <v>0</v>
      </c>
      <c r="S36" s="168">
        <f t="shared" si="0"/>
        <v>61854651.488366514</v>
      </c>
      <c r="T36" s="168">
        <f t="shared" si="1"/>
        <v>65591234.511633486</v>
      </c>
      <c r="U36" s="62">
        <f>INDEX(FY25_LE_Data245[FY23 ADM - Grades K-12],MATCH(AFRAPR!B36,FY25_LE_Data245[ID],0))+INDEX(FY25_LE_Data245[FY23ADM - SPED Self-Contained],MATCH(AFRAPR!B36,FY25_LE_Data245[ID],0))</f>
        <v>8809.5722222222212</v>
      </c>
      <c r="V36" s="175">
        <f t="shared" si="2"/>
        <v>7445.4505686642806</v>
      </c>
      <c r="W36" s="179">
        <f t="shared" si="3"/>
        <v>3722.73</v>
      </c>
      <c r="Y36" s="157"/>
      <c r="Z36" s="37"/>
      <c r="AA36" s="158"/>
    </row>
    <row r="37" spans="1:27">
      <c r="A37" s="64" t="s">
        <v>188</v>
      </c>
      <c r="B37" s="63">
        <v>33</v>
      </c>
      <c r="C37" s="52" t="s">
        <v>74</v>
      </c>
      <c r="D37" s="163">
        <v>327506925.99000001</v>
      </c>
      <c r="E37" s="164">
        <v>34102516.829999998</v>
      </c>
      <c r="F37" s="165">
        <v>0</v>
      </c>
      <c r="G37" s="165">
        <v>0</v>
      </c>
      <c r="H37" s="166">
        <v>4565338.38</v>
      </c>
      <c r="I37" s="165">
        <v>23806009.27</v>
      </c>
      <c r="J37" s="165">
        <v>0</v>
      </c>
      <c r="K37" s="166">
        <f>D37+E37-H37-I37-J37</f>
        <v>333238095.17000002</v>
      </c>
      <c r="L37" s="166">
        <v>113461529.93000001</v>
      </c>
      <c r="M37" s="128">
        <f>VALTAX24!O42</f>
        <v>2.7660000000000002E-3</v>
      </c>
      <c r="N37" s="167">
        <f>(VALTAX24!D42/AFRAPR!M37)*L37</f>
        <v>57674226.710621826</v>
      </c>
      <c r="O37" s="164">
        <v>181568438.27000001</v>
      </c>
      <c r="P37" s="164">
        <v>48025296.18</v>
      </c>
      <c r="Q37" s="166">
        <v>1823565.55</v>
      </c>
      <c r="R37" s="164">
        <v>0</v>
      </c>
      <c r="S37" s="168">
        <f t="shared" si="0"/>
        <v>289091526.71062183</v>
      </c>
      <c r="T37" s="168">
        <f t="shared" si="1"/>
        <v>44146568.459378183</v>
      </c>
      <c r="U37" s="62">
        <f>INDEX(FY25_LE_Data245[FY23 ADM - Grades K-12],MATCH(AFRAPR!B37,FY25_LE_Data245[ID],0))+INDEX(FY25_LE_Data245[FY23ADM - SPED Self-Contained],MATCH(AFRAPR!B37,FY25_LE_Data245[ID],0))</f>
        <v>34395.172222222223</v>
      </c>
      <c r="V37" s="175">
        <f t="shared" si="2"/>
        <v>1283.5106094004589</v>
      </c>
      <c r="W37" s="179">
        <f t="shared" si="3"/>
        <v>641.76</v>
      </c>
      <c r="Y37" s="157"/>
      <c r="Z37" s="37"/>
      <c r="AA37" s="158"/>
    </row>
    <row r="38" spans="1:27">
      <c r="A38" s="64" t="s">
        <v>189</v>
      </c>
      <c r="B38" s="63">
        <v>34</v>
      </c>
      <c r="C38" s="52" t="s">
        <v>75</v>
      </c>
      <c r="D38" s="163">
        <v>6917518.29</v>
      </c>
      <c r="E38" s="164">
        <v>5881370.3099999996</v>
      </c>
      <c r="F38" s="165">
        <v>0</v>
      </c>
      <c r="G38" s="165">
        <v>0</v>
      </c>
      <c r="H38" s="166">
        <v>0</v>
      </c>
      <c r="I38" s="165">
        <v>4666455</v>
      </c>
      <c r="J38" s="165">
        <v>564400</v>
      </c>
      <c r="K38" s="166">
        <f>D38+E38-H38-I38-J38</f>
        <v>7568033.5999999996</v>
      </c>
      <c r="L38" s="166">
        <v>1918425.13</v>
      </c>
      <c r="M38" s="128">
        <f>VALTAX24!O43</f>
        <v>2.4989999999999999E-3</v>
      </c>
      <c r="N38" s="167">
        <f>(VALTAX24!D43/AFRAPR!M38)*L38</f>
        <v>1079354.0347258903</v>
      </c>
      <c r="O38" s="164">
        <v>5716753.2999999998</v>
      </c>
      <c r="P38" s="164">
        <v>683926.9</v>
      </c>
      <c r="Q38" s="166">
        <v>647126.69999999995</v>
      </c>
      <c r="R38" s="164">
        <v>0</v>
      </c>
      <c r="S38" s="168">
        <f t="shared" si="0"/>
        <v>8127160.9347258909</v>
      </c>
      <c r="T38" s="168">
        <f t="shared" si="1"/>
        <v>-559127.33472589124</v>
      </c>
      <c r="U38" s="62">
        <f>INDEX(FY25_LE_Data245[FY23 ADM - Grades K-12],MATCH(AFRAPR!B38,FY25_LE_Data245[ID],0))+INDEX(FY25_LE_Data245[FY23ADM - SPED Self-Contained],MATCH(AFRAPR!B38,FY25_LE_Data245[ID],0))</f>
        <v>426.53888888888878</v>
      </c>
      <c r="V38" s="175">
        <f t="shared" si="2"/>
        <v>-1310.8472622095217</v>
      </c>
      <c r="W38" s="179">
        <f t="shared" si="3"/>
        <v>0</v>
      </c>
      <c r="Y38" s="157"/>
      <c r="Z38" s="37"/>
      <c r="AA38" s="158"/>
    </row>
    <row r="39" spans="1:27">
      <c r="A39" s="64" t="s">
        <v>190</v>
      </c>
      <c r="B39" s="63">
        <v>35</v>
      </c>
      <c r="C39" s="52" t="s">
        <v>76</v>
      </c>
      <c r="D39" s="163">
        <v>295166510</v>
      </c>
      <c r="E39" s="164">
        <v>135402824</v>
      </c>
      <c r="F39" s="165">
        <v>0</v>
      </c>
      <c r="G39" s="165">
        <v>2123416</v>
      </c>
      <c r="H39" s="166">
        <v>1877452</v>
      </c>
      <c r="I39" s="165">
        <v>113991218</v>
      </c>
      <c r="J39" s="165">
        <v>0</v>
      </c>
      <c r="K39" s="166">
        <f>D39+E39-H39-I39-J39</f>
        <v>314700664</v>
      </c>
      <c r="L39" s="166">
        <v>77461868</v>
      </c>
      <c r="M39" s="128">
        <f>VALTAX24!O44</f>
        <v>2.849E-3</v>
      </c>
      <c r="N39" s="167">
        <f>(VALTAX24!D44/AFRAPR!M39)*L39</f>
        <v>38227934.857142858</v>
      </c>
      <c r="O39" s="164">
        <v>189312788</v>
      </c>
      <c r="P39" s="164">
        <v>19840821</v>
      </c>
      <c r="Q39" s="166">
        <v>672045</v>
      </c>
      <c r="R39" s="164">
        <v>0</v>
      </c>
      <c r="S39" s="168">
        <f t="shared" si="0"/>
        <v>248053588.85714287</v>
      </c>
      <c r="T39" s="168">
        <f t="shared" si="1"/>
        <v>66647075.142857134</v>
      </c>
      <c r="U39" s="62">
        <f>INDEX(FY25_LE_Data245[FY23 ADM - Grades K-12],MATCH(AFRAPR!B39,FY25_LE_Data245[ID],0))+INDEX(FY25_LE_Data245[FY23ADM - SPED Self-Contained],MATCH(AFRAPR!B39,FY25_LE_Data245[ID],0))</f>
        <v>32121.65</v>
      </c>
      <c r="V39" s="175">
        <f t="shared" si="2"/>
        <v>2074.8334890286501</v>
      </c>
      <c r="W39" s="179">
        <f t="shared" si="3"/>
        <v>1037.42</v>
      </c>
      <c r="Y39" s="157"/>
      <c r="Z39" s="37"/>
      <c r="AA39" s="158"/>
    </row>
    <row r="40" spans="1:27">
      <c r="A40" s="64" t="s">
        <v>191</v>
      </c>
      <c r="B40" s="63">
        <v>36</v>
      </c>
      <c r="C40" s="52" t="s">
        <v>77</v>
      </c>
      <c r="D40" s="163">
        <v>269490116.99000001</v>
      </c>
      <c r="E40" s="164">
        <v>44966127.159999996</v>
      </c>
      <c r="F40" s="165">
        <v>581200.63</v>
      </c>
      <c r="G40" s="165">
        <v>1826330.92</v>
      </c>
      <c r="H40" s="166">
        <v>0</v>
      </c>
      <c r="I40" s="165">
        <v>0</v>
      </c>
      <c r="J40" s="165">
        <v>36609450.009999998</v>
      </c>
      <c r="K40" s="166">
        <f>D40+E40-H40-I40-J40</f>
        <v>277846794.13999999</v>
      </c>
      <c r="L40" s="166">
        <v>145420173.52000001</v>
      </c>
      <c r="M40" s="128">
        <f>VALTAX24!O45</f>
        <v>3.235E-3</v>
      </c>
      <c r="N40" s="167">
        <f>(VALTAX24!D45/AFRAPR!M40)*L40</f>
        <v>63202709.109465227</v>
      </c>
      <c r="O40" s="164">
        <v>79395084.640000001</v>
      </c>
      <c r="P40" s="164">
        <v>38333476.539999999</v>
      </c>
      <c r="Q40" s="166">
        <v>0</v>
      </c>
      <c r="R40" s="164">
        <v>216129.6</v>
      </c>
      <c r="S40" s="168">
        <f t="shared" si="0"/>
        <v>181147399.88946521</v>
      </c>
      <c r="T40" s="168">
        <f t="shared" si="1"/>
        <v>96699394.250534773</v>
      </c>
      <c r="U40" s="62">
        <f>INDEX(FY25_LE_Data245[FY23 ADM - Grades K-12],MATCH(AFRAPR!B40,FY25_LE_Data245[ID],0))+INDEX(FY25_LE_Data245[FY23ADM - SPED Self-Contained],MATCH(AFRAPR!B40,FY25_LE_Data245[ID],0))</f>
        <v>19299.87222222222</v>
      </c>
      <c r="V40" s="175">
        <f t="shared" si="2"/>
        <v>5010.3644799882841</v>
      </c>
      <c r="W40" s="179">
        <f t="shared" si="3"/>
        <v>2505.1799999999998</v>
      </c>
      <c r="Y40" s="157"/>
      <c r="Z40" s="37"/>
      <c r="AA40" s="158"/>
    </row>
    <row r="41" spans="1:27">
      <c r="A41" s="64" t="s">
        <v>192</v>
      </c>
      <c r="B41" s="63">
        <v>37</v>
      </c>
      <c r="C41" s="52" t="s">
        <v>78</v>
      </c>
      <c r="D41" s="163">
        <v>124561529.92</v>
      </c>
      <c r="E41" s="164">
        <v>29546026.93</v>
      </c>
      <c r="F41" s="165">
        <v>3437057.12</v>
      </c>
      <c r="G41" s="165">
        <v>3701055.56</v>
      </c>
      <c r="H41" s="166">
        <v>0</v>
      </c>
      <c r="I41" s="165">
        <v>0</v>
      </c>
      <c r="J41" s="165">
        <v>14707792.939999999</v>
      </c>
      <c r="K41" s="166">
        <f>D41+E41-H41-I41-J41</f>
        <v>139399763.91</v>
      </c>
      <c r="L41" s="166">
        <v>38214990.270000003</v>
      </c>
      <c r="M41" s="128">
        <f>VALTAX24!O46</f>
        <v>4.1219999999999998E-3</v>
      </c>
      <c r="N41" s="167">
        <f>(VALTAX24!D46/AFRAPR!M41)*L41</f>
        <v>13035001.533144105</v>
      </c>
      <c r="O41" s="164">
        <v>63267408.100000001</v>
      </c>
      <c r="P41" s="164">
        <v>18524882.850000001</v>
      </c>
      <c r="Q41" s="166">
        <v>1617430.34</v>
      </c>
      <c r="R41" s="164">
        <v>5203702.34</v>
      </c>
      <c r="S41" s="168">
        <f t="shared" si="0"/>
        <v>101648425.16314411</v>
      </c>
      <c r="T41" s="168">
        <f t="shared" si="1"/>
        <v>37751338.746855885</v>
      </c>
      <c r="U41" s="62">
        <f>INDEX(FY25_LE_Data245[FY23 ADM - Grades K-12],MATCH(AFRAPR!B41,FY25_LE_Data245[ID],0))+INDEX(FY25_LE_Data245[FY23ADM - SPED Self-Contained],MATCH(AFRAPR!B41,FY25_LE_Data245[ID],0))</f>
        <v>10164.805555555555</v>
      </c>
      <c r="V41" s="175">
        <f t="shared" si="2"/>
        <v>3713.9263058724191</v>
      </c>
      <c r="W41" s="179">
        <f t="shared" si="3"/>
        <v>1856.96</v>
      </c>
      <c r="Y41" s="157"/>
      <c r="Z41" s="37"/>
      <c r="AA41" s="158"/>
    </row>
    <row r="42" spans="1:27">
      <c r="A42" s="64" t="s">
        <v>193</v>
      </c>
      <c r="B42" s="63">
        <v>38</v>
      </c>
      <c r="C42" s="52" t="s">
        <v>79</v>
      </c>
      <c r="D42" s="163">
        <v>148658840.78999999</v>
      </c>
      <c r="E42" s="164">
        <v>79560057.659999996</v>
      </c>
      <c r="F42" s="165">
        <v>4294525.82</v>
      </c>
      <c r="G42" s="165">
        <v>3000000</v>
      </c>
      <c r="H42" s="166">
        <v>0</v>
      </c>
      <c r="I42" s="165">
        <v>7755107</v>
      </c>
      <c r="J42" s="165">
        <v>61525687.439999998</v>
      </c>
      <c r="K42" s="166">
        <f>D42+E42-H42-I42-J42</f>
        <v>158938104.00999999</v>
      </c>
      <c r="L42" s="166">
        <v>41473052.759999998</v>
      </c>
      <c r="M42" s="128">
        <f>VALTAX24!O47</f>
        <v>4.5369999999999994E-3</v>
      </c>
      <c r="N42" s="167">
        <f>(VALTAX24!D47/AFRAPR!M42)*L42</f>
        <v>12852350.050817721</v>
      </c>
      <c r="O42" s="164">
        <v>85206841.689999998</v>
      </c>
      <c r="P42" s="164">
        <v>14771763.279999999</v>
      </c>
      <c r="Q42" s="166">
        <v>1805798.32</v>
      </c>
      <c r="R42" s="164">
        <v>0</v>
      </c>
      <c r="S42" s="168">
        <f t="shared" si="0"/>
        <v>114636753.34081772</v>
      </c>
      <c r="T42" s="168">
        <f t="shared" si="1"/>
        <v>44301350.669182271</v>
      </c>
      <c r="U42" s="62">
        <f>INDEX(FY25_LE_Data245[FY23 ADM - Grades K-12],MATCH(AFRAPR!B42,FY25_LE_Data245[ID],0))+INDEX(FY25_LE_Data245[FY23ADM - SPED Self-Contained],MATCH(AFRAPR!B42,FY25_LE_Data245[ID],0))</f>
        <v>13529.277777777779</v>
      </c>
      <c r="V42" s="175">
        <f t="shared" si="2"/>
        <v>3274.4800865829284</v>
      </c>
      <c r="W42" s="179">
        <f t="shared" si="3"/>
        <v>1637.24</v>
      </c>
      <c r="Y42" s="157"/>
      <c r="Z42" s="37"/>
      <c r="AA42" s="158"/>
    </row>
    <row r="43" spans="1:27">
      <c r="A43" s="64" t="s">
        <v>194</v>
      </c>
      <c r="B43" s="63">
        <v>39</v>
      </c>
      <c r="C43" s="52" t="s">
        <v>80</v>
      </c>
      <c r="D43" s="163">
        <v>63165311.380000003</v>
      </c>
      <c r="E43" s="164">
        <v>7063578.1200000001</v>
      </c>
      <c r="F43" s="165">
        <v>139938.4</v>
      </c>
      <c r="G43" s="165">
        <v>1167150.81</v>
      </c>
      <c r="H43" s="166">
        <v>243788.13</v>
      </c>
      <c r="I43" s="165">
        <v>560065.39</v>
      </c>
      <c r="J43" s="165">
        <v>2708212.69</v>
      </c>
      <c r="K43" s="166">
        <f>D43+E43-H43-I43-J43</f>
        <v>66716823.290000007</v>
      </c>
      <c r="L43" s="166">
        <v>20485959.489999998</v>
      </c>
      <c r="M43" s="128">
        <f>VALTAX24!O48</f>
        <v>3.6940000000000002E-3</v>
      </c>
      <c r="N43" s="167">
        <f>(VALTAX24!D48/AFRAPR!M43)*L43</f>
        <v>7797308.8908879245</v>
      </c>
      <c r="O43" s="164">
        <v>30870695.98</v>
      </c>
      <c r="P43" s="164">
        <v>12619899.949999999</v>
      </c>
      <c r="Q43" s="166">
        <v>0</v>
      </c>
      <c r="R43" s="164">
        <v>0</v>
      </c>
      <c r="S43" s="168">
        <f t="shared" si="0"/>
        <v>51287904.820887923</v>
      </c>
      <c r="T43" s="168">
        <f t="shared" si="1"/>
        <v>15428918.469112083</v>
      </c>
      <c r="U43" s="62">
        <f>INDEX(FY25_LE_Data245[FY23 ADM - Grades K-12],MATCH(AFRAPR!B43,FY25_LE_Data245[ID],0))+INDEX(FY25_LE_Data245[FY23ADM - SPED Self-Contained],MATCH(AFRAPR!B43,FY25_LE_Data245[ID],0))</f>
        <v>5091.8555555555558</v>
      </c>
      <c r="V43" s="175">
        <f t="shared" si="2"/>
        <v>3030.1170763334203</v>
      </c>
      <c r="W43" s="179">
        <f t="shared" si="3"/>
        <v>1515.06</v>
      </c>
      <c r="Y43" s="157"/>
      <c r="Z43" s="37"/>
      <c r="AA43" s="158"/>
    </row>
    <row r="44" spans="1:27">
      <c r="A44" s="64" t="s">
        <v>195</v>
      </c>
      <c r="B44" s="63">
        <v>40</v>
      </c>
      <c r="C44" s="52" t="s">
        <v>81</v>
      </c>
      <c r="D44" s="163">
        <v>63134076</v>
      </c>
      <c r="E44" s="164">
        <v>2022485</v>
      </c>
      <c r="F44" s="165">
        <v>181238</v>
      </c>
      <c r="G44" s="165">
        <v>380000</v>
      </c>
      <c r="H44" s="166">
        <v>288752</v>
      </c>
      <c r="I44" s="165">
        <v>0</v>
      </c>
      <c r="J44" s="165">
        <v>77011</v>
      </c>
      <c r="K44" s="166">
        <f>D44+E44-H44-I44-J44</f>
        <v>64790798</v>
      </c>
      <c r="L44" s="166">
        <v>25451894</v>
      </c>
      <c r="M44" s="128">
        <f>VALTAX24!O49</f>
        <v>3.6709999999999998E-3</v>
      </c>
      <c r="N44" s="167">
        <f>(VALTAX24!D49/AFRAPR!M44)*L44</f>
        <v>9748123.934622718</v>
      </c>
      <c r="O44" s="164">
        <v>30303004</v>
      </c>
      <c r="P44" s="164">
        <v>5658037</v>
      </c>
      <c r="Q44" s="166">
        <v>0</v>
      </c>
      <c r="R44" s="164">
        <v>0</v>
      </c>
      <c r="S44" s="168">
        <f t="shared" si="0"/>
        <v>45709164.93462272</v>
      </c>
      <c r="T44" s="168">
        <f t="shared" si="1"/>
        <v>19081633.06537728</v>
      </c>
      <c r="U44" s="62">
        <f>INDEX(FY25_LE_Data245[FY23 ADM - Grades K-12],MATCH(AFRAPR!B44,FY25_LE_Data245[ID],0))+INDEX(FY25_LE_Data245[FY23ADM - SPED Self-Contained],MATCH(AFRAPR!B44,FY25_LE_Data245[ID],0))</f>
        <v>5721.155555555556</v>
      </c>
      <c r="V44" s="175">
        <f t="shared" si="2"/>
        <v>3335.2760434643255</v>
      </c>
      <c r="W44" s="179">
        <f t="shared" si="3"/>
        <v>1667.64</v>
      </c>
      <c r="Y44" s="157"/>
      <c r="Z44" s="37"/>
      <c r="AA44" s="158"/>
    </row>
    <row r="45" spans="1:27">
      <c r="A45" s="61" t="s">
        <v>196</v>
      </c>
      <c r="B45" s="60">
        <v>42</v>
      </c>
      <c r="C45" s="59" t="s">
        <v>112</v>
      </c>
      <c r="D45" s="169">
        <v>354300929.51999998</v>
      </c>
      <c r="E45" s="170">
        <v>60524191.159999996</v>
      </c>
      <c r="F45" s="171">
        <v>1832496.33</v>
      </c>
      <c r="G45" s="171">
        <v>2983292.79</v>
      </c>
      <c r="H45" s="172">
        <v>6716745.9100000001</v>
      </c>
      <c r="I45" s="171">
        <v>5888558.1500000004</v>
      </c>
      <c r="J45" s="171">
        <v>32323936.620000001</v>
      </c>
      <c r="K45" s="172">
        <f>D45+E45-H45-I45-J45</f>
        <v>369895879.99999994</v>
      </c>
      <c r="L45" s="172">
        <v>145392215.34</v>
      </c>
      <c r="M45" s="156">
        <f>VALTAX24!O50</f>
        <v>3.725E-3</v>
      </c>
      <c r="N45" s="172">
        <f>(VALTAX24!D50/AFRAPR!M45)*L45</f>
        <v>54878242.890748985</v>
      </c>
      <c r="O45" s="170">
        <v>166802174.41</v>
      </c>
      <c r="P45" s="170">
        <v>26753475.010000002</v>
      </c>
      <c r="Q45" s="172">
        <v>3916269.03</v>
      </c>
      <c r="R45" s="170">
        <v>0</v>
      </c>
      <c r="S45" s="173">
        <f t="shared" si="0"/>
        <v>252350161.34074897</v>
      </c>
      <c r="T45" s="173">
        <f t="shared" si="1"/>
        <v>117545718.65925097</v>
      </c>
      <c r="U45" s="58">
        <f>INDEX(FY25_LE_Data245[FY23 ADM - Grades K-12],MATCH(AFRAPR!B45,FY25_LE_Data245[ID],0))+INDEX(FY25_LE_Data245[FY23ADM - SPED Self-Contained],MATCH(AFRAPR!B45,FY25_LE_Data245[ID],0))</f>
        <v>32685.57777777778</v>
      </c>
      <c r="V45" s="176">
        <f t="shared" si="2"/>
        <v>3596.2564118774053</v>
      </c>
      <c r="W45" s="180">
        <f t="shared" si="3"/>
        <v>1798.13</v>
      </c>
      <c r="Y45" s="157"/>
      <c r="Z45" s="37"/>
      <c r="AA45" s="158"/>
    </row>
    <row r="46" spans="1:27" s="53" customFormat="1">
      <c r="A46" s="57"/>
      <c r="B46" s="57"/>
      <c r="C46" s="57"/>
      <c r="D46" s="174">
        <f>SUM(D5:D45)</f>
        <v>5950903264.4799995</v>
      </c>
      <c r="E46" s="174">
        <f>SUM(E5:E45)</f>
        <v>1158699281.2999997</v>
      </c>
      <c r="F46" s="174">
        <f>SUM(F5:F45)</f>
        <v>26902063.740000002</v>
      </c>
      <c r="G46" s="174">
        <f>SUM(G5:G45)</f>
        <v>63147087.010000005</v>
      </c>
      <c r="H46" s="174">
        <f>SUM(H5:H45)</f>
        <v>39299836.530000001</v>
      </c>
      <c r="I46" s="174">
        <f>SUM(I5:I45)</f>
        <v>208360930.13</v>
      </c>
      <c r="J46" s="174">
        <f>SUM(J5:J45)</f>
        <v>657310317.3100003</v>
      </c>
      <c r="K46" s="174">
        <f>SUM(K5:K45)</f>
        <v>6204631461.8100014</v>
      </c>
      <c r="L46" s="174">
        <f>SUM(L5:L45)</f>
        <v>1845718213.7799997</v>
      </c>
      <c r="M46" s="178">
        <f>AVERAGE(M5:M45)</f>
        <v>3.5958780487804882E-3</v>
      </c>
      <c r="N46" s="174">
        <f>SUM(N5:N45)</f>
        <v>729371010.44712615</v>
      </c>
      <c r="O46" s="174">
        <f>SUM(O5:O45)</f>
        <v>3536424116.6599984</v>
      </c>
      <c r="P46" s="174">
        <f>SUM(P5:P45)</f>
        <v>573298625.60000002</v>
      </c>
      <c r="Q46" s="174">
        <f>SUM(Q5:Q45)</f>
        <v>92057147.399999976</v>
      </c>
      <c r="R46" s="174">
        <f>SUM(R5:R45)</f>
        <v>21865535.699999999</v>
      </c>
      <c r="S46" s="174">
        <f>SUM(S5:S45)</f>
        <v>4953016435.8071251</v>
      </c>
      <c r="T46" s="174">
        <f>SUM(T5:T45)</f>
        <v>1251615026.0028739</v>
      </c>
      <c r="U46" s="56">
        <f>SUM(U5:U45)</f>
        <v>588068.61111111101</v>
      </c>
      <c r="V46" s="177">
        <f>AVERAGE(V5:V45)</f>
        <v>2652.8722328682347</v>
      </c>
      <c r="W46" s="181">
        <f>AVERAGE(W5:W45)</f>
        <v>1459.7582926829268</v>
      </c>
      <c r="X46" s="55"/>
      <c r="Y46" s="55"/>
      <c r="Z46" s="54"/>
    </row>
    <row r="47" spans="1:27">
      <c r="A47" s="52"/>
      <c r="B47" s="52"/>
      <c r="C47" s="52"/>
      <c r="D47" s="49"/>
      <c r="E47" s="49"/>
      <c r="F47" s="49"/>
      <c r="G47" s="49"/>
      <c r="H47" s="49"/>
      <c r="I47" s="49"/>
      <c r="J47" s="49"/>
      <c r="K47" s="49"/>
      <c r="L47" s="49"/>
      <c r="M47" s="51"/>
      <c r="N47" s="49"/>
      <c r="O47" s="50"/>
      <c r="P47" s="50"/>
      <c r="Q47" s="50"/>
      <c r="R47" s="50"/>
      <c r="S47" s="49"/>
      <c r="T47" s="49"/>
      <c r="U47" s="48"/>
      <c r="V47" s="47"/>
      <c r="W47" s="46"/>
      <c r="X47" s="34"/>
      <c r="Y47" s="34"/>
      <c r="Z47" s="34"/>
    </row>
    <row r="48" spans="1:27" s="43" customFormat="1" ht="52.75">
      <c r="A48" s="45"/>
      <c r="B48" s="45"/>
      <c r="C48" s="45"/>
      <c r="D48" s="33" t="s">
        <v>207</v>
      </c>
      <c r="E48" s="33" t="s">
        <v>208</v>
      </c>
      <c r="F48" s="33" t="s">
        <v>227</v>
      </c>
      <c r="G48" s="33" t="s">
        <v>226</v>
      </c>
      <c r="H48" s="33" t="s">
        <v>225</v>
      </c>
      <c r="I48" s="33" t="s">
        <v>224</v>
      </c>
      <c r="J48" s="33" t="s">
        <v>223</v>
      </c>
      <c r="L48" s="33" t="s">
        <v>209</v>
      </c>
      <c r="M48" s="44" t="s">
        <v>222</v>
      </c>
      <c r="N48" s="43" t="s">
        <v>222</v>
      </c>
      <c r="O48" s="33" t="s">
        <v>221</v>
      </c>
      <c r="P48" s="33" t="s">
        <v>220</v>
      </c>
      <c r="Q48" s="33" t="s">
        <v>219</v>
      </c>
      <c r="R48" s="33" t="s">
        <v>218</v>
      </c>
    </row>
    <row r="49" spans="1:23" s="38" customFormat="1">
      <c r="A49" s="42"/>
      <c r="B49" s="42"/>
      <c r="C49" s="42"/>
      <c r="K49" s="41"/>
      <c r="L49" s="39"/>
      <c r="M49" s="40"/>
      <c r="Q49" s="39"/>
    </row>
    <row r="50" spans="1:23">
      <c r="D50" s="36"/>
      <c r="W50" s="37"/>
    </row>
    <row r="51" spans="1:23">
      <c r="E51" s="36"/>
      <c r="F51" s="35"/>
      <c r="G51" s="35"/>
    </row>
    <row r="54" spans="1:23">
      <c r="H54" s="34"/>
      <c r="I54" s="34"/>
      <c r="J54" s="34"/>
      <c r="L54" s="34"/>
      <c r="N54" s="34"/>
    </row>
    <row r="55" spans="1:23">
      <c r="E55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585F6-A61C-400F-8A19-AB98A6AE9F0B}">
  <sheetPr syncVertical="1" syncRef="C10" transitionEvaluation="1"/>
  <dimension ref="A1:V57"/>
  <sheetViews>
    <sheetView showGridLines="0" zoomScale="90" zoomScaleNormal="90" workbookViewId="0">
      <pane xSplit="2" ySplit="9" topLeftCell="C10" activePane="bottomRight" state="frozen"/>
      <selection activeCell="A104" sqref="A104"/>
      <selection pane="topRight" activeCell="B104" sqref="B104"/>
      <selection pane="bottomLeft" activeCell="A104" sqref="A104"/>
      <selection pane="bottomRight" activeCell="O10" sqref="O10"/>
    </sheetView>
  </sheetViews>
  <sheetFormatPr defaultColWidth="12" defaultRowHeight="14.6"/>
  <cols>
    <col min="1" max="1" width="3.4609375" style="86" bestFit="1" customWidth="1"/>
    <col min="2" max="2" width="12.3046875" style="86" customWidth="1"/>
    <col min="3" max="3" width="16.3046875" style="86" bestFit="1" customWidth="1"/>
    <col min="4" max="4" width="12.53515625" style="86" bestFit="1" customWidth="1"/>
    <col min="5" max="5" width="12.07421875" style="86" bestFit="1" customWidth="1"/>
    <col min="6" max="6" width="12.61328125" style="86" bestFit="1" customWidth="1"/>
    <col min="7" max="9" width="12.07421875" style="86" bestFit="1" customWidth="1"/>
    <col min="10" max="10" width="13.07421875" style="86" bestFit="1" customWidth="1"/>
    <col min="11" max="11" width="12.07421875" style="86" bestFit="1" customWidth="1"/>
    <col min="12" max="12" width="1.53515625" style="86" customWidth="1"/>
    <col min="13" max="13" width="10.15234375" style="86" bestFit="1" customWidth="1"/>
    <col min="14" max="16384" width="12" style="86"/>
  </cols>
  <sheetData>
    <row r="1" spans="1:22" s="77" customFormat="1" ht="18.45">
      <c r="B1" s="78" t="s">
        <v>101</v>
      </c>
      <c r="C1" s="78"/>
      <c r="D1" s="78"/>
      <c r="E1" s="78"/>
      <c r="F1" s="78"/>
      <c r="G1" s="78"/>
      <c r="H1" s="78"/>
      <c r="I1" s="78"/>
      <c r="J1" s="78"/>
      <c r="K1" s="79"/>
    </row>
    <row r="2" spans="1:22" s="77" customFormat="1" ht="18.45">
      <c r="B2" s="78" t="s">
        <v>114</v>
      </c>
      <c r="C2" s="78"/>
      <c r="D2" s="78"/>
      <c r="E2" s="78"/>
      <c r="F2" s="78"/>
      <c r="G2" s="78"/>
      <c r="H2" s="78"/>
      <c r="I2" s="78"/>
      <c r="J2" s="78"/>
      <c r="K2" s="79"/>
    </row>
    <row r="3" spans="1:22" s="77" customFormat="1" ht="18.45">
      <c r="B3" s="78" t="s">
        <v>229</v>
      </c>
      <c r="C3" s="78"/>
      <c r="D3" s="78"/>
      <c r="E3" s="78"/>
      <c r="F3" s="78"/>
      <c r="G3" s="78"/>
      <c r="H3" s="78"/>
      <c r="I3" s="78"/>
      <c r="J3" s="78"/>
    </row>
    <row r="4" spans="1:22">
      <c r="A4" s="80"/>
      <c r="B4" s="81" t="s">
        <v>116</v>
      </c>
      <c r="C4" s="82"/>
      <c r="D4" s="83"/>
      <c r="E4" s="84">
        <v>2.5000000000000001E-3</v>
      </c>
      <c r="F4" s="84"/>
      <c r="G4" s="84">
        <v>3.0000000000000001E-3</v>
      </c>
      <c r="H4" s="84">
        <v>2E-3</v>
      </c>
      <c r="I4" s="85" t="s">
        <v>117</v>
      </c>
      <c r="J4" s="83"/>
      <c r="K4" s="83"/>
    </row>
    <row r="5" spans="1:22">
      <c r="A5" s="80"/>
      <c r="B5" s="81" t="s">
        <v>118</v>
      </c>
      <c r="C5" s="87"/>
      <c r="D5" s="85">
        <v>210</v>
      </c>
      <c r="E5" s="88">
        <v>525</v>
      </c>
      <c r="F5" s="88">
        <v>527</v>
      </c>
      <c r="G5" s="85">
        <v>246</v>
      </c>
      <c r="H5" s="88">
        <v>510</v>
      </c>
      <c r="I5" s="85">
        <v>230</v>
      </c>
      <c r="J5" s="82">
        <v>190</v>
      </c>
      <c r="K5" s="85" t="s">
        <v>84</v>
      </c>
      <c r="L5" s="89"/>
      <c r="M5" s="90" t="s">
        <v>84</v>
      </c>
      <c r="N5" s="89"/>
      <c r="O5" s="89"/>
    </row>
    <row r="6" spans="1:22" s="92" customFormat="1" ht="15.9">
      <c r="A6" s="91"/>
      <c r="B6" s="81"/>
      <c r="C6" s="82" t="s">
        <v>201</v>
      </c>
      <c r="D6" s="85" t="s">
        <v>230</v>
      </c>
      <c r="E6" s="85" t="s">
        <v>92</v>
      </c>
      <c r="F6" s="85" t="s">
        <v>143</v>
      </c>
      <c r="G6" s="85" t="s">
        <v>94</v>
      </c>
      <c r="H6" s="85" t="s">
        <v>91</v>
      </c>
      <c r="I6" s="85" t="s">
        <v>113</v>
      </c>
      <c r="J6" s="85" t="s">
        <v>127</v>
      </c>
      <c r="K6" s="85" t="s">
        <v>231</v>
      </c>
      <c r="M6" s="90" t="s">
        <v>99</v>
      </c>
      <c r="O6" s="9" t="s">
        <v>130</v>
      </c>
      <c r="V6" s="90"/>
    </row>
    <row r="7" spans="1:22" s="92" customFormat="1" ht="15.9">
      <c r="A7" s="91"/>
      <c r="B7" s="85" t="s">
        <v>87</v>
      </c>
      <c r="C7" s="82" t="s">
        <v>144</v>
      </c>
      <c r="D7" s="85" t="s">
        <v>93</v>
      </c>
      <c r="E7" s="85" t="s">
        <v>119</v>
      </c>
      <c r="F7" s="85" t="s">
        <v>145</v>
      </c>
      <c r="G7" s="85" t="s">
        <v>82</v>
      </c>
      <c r="H7" s="85" t="s">
        <v>82</v>
      </c>
      <c r="I7" s="93" t="s">
        <v>120</v>
      </c>
      <c r="J7" s="85" t="s">
        <v>128</v>
      </c>
      <c r="K7" s="85" t="s">
        <v>103</v>
      </c>
      <c r="L7" s="90"/>
      <c r="M7" s="90" t="s">
        <v>202</v>
      </c>
      <c r="N7" s="90"/>
      <c r="O7" s="9" t="s">
        <v>121</v>
      </c>
      <c r="P7" s="90"/>
      <c r="Q7" s="90"/>
      <c r="R7" s="90"/>
      <c r="S7" s="90"/>
      <c r="T7" s="90"/>
      <c r="U7" s="90"/>
      <c r="V7" s="90"/>
    </row>
    <row r="8" spans="1:22" s="92" customFormat="1" ht="15.9">
      <c r="A8" s="91"/>
      <c r="B8" s="81"/>
      <c r="C8" s="82" t="s">
        <v>146</v>
      </c>
      <c r="D8" s="85" t="s">
        <v>95</v>
      </c>
      <c r="E8" s="94"/>
      <c r="F8" s="84"/>
      <c r="G8" s="85" t="s">
        <v>122</v>
      </c>
      <c r="H8" s="85" t="s">
        <v>122</v>
      </c>
      <c r="I8" s="85"/>
      <c r="J8" s="93" t="s">
        <v>131</v>
      </c>
      <c r="K8" s="85" t="s">
        <v>104</v>
      </c>
      <c r="L8" s="90"/>
      <c r="M8" s="90" t="s">
        <v>119</v>
      </c>
      <c r="N8" s="90"/>
      <c r="O8" s="9" t="s">
        <v>105</v>
      </c>
      <c r="P8" s="90"/>
      <c r="Q8" s="90"/>
      <c r="R8" s="90"/>
      <c r="S8" s="90"/>
      <c r="T8" s="90"/>
      <c r="U8" s="90"/>
      <c r="V8" s="90"/>
    </row>
    <row r="9" spans="1:22" s="92" customFormat="1" ht="33.75" customHeight="1">
      <c r="A9" s="91"/>
      <c r="B9" s="81"/>
      <c r="C9" s="95" t="s">
        <v>232</v>
      </c>
      <c r="D9" s="85" t="s">
        <v>147</v>
      </c>
      <c r="E9" s="85" t="s">
        <v>148</v>
      </c>
      <c r="F9" s="85" t="s">
        <v>149</v>
      </c>
      <c r="G9" s="85" t="s">
        <v>150</v>
      </c>
      <c r="H9" s="85" t="s">
        <v>151</v>
      </c>
      <c r="I9" s="85" t="s">
        <v>115</v>
      </c>
      <c r="J9" s="85" t="s">
        <v>129</v>
      </c>
      <c r="K9" s="85" t="s">
        <v>106</v>
      </c>
      <c r="L9" s="90"/>
      <c r="M9" s="90"/>
      <c r="N9" s="90"/>
      <c r="O9" s="9" t="s">
        <v>123</v>
      </c>
      <c r="P9" s="90"/>
      <c r="Q9" s="90"/>
      <c r="R9" s="90"/>
      <c r="S9" s="90"/>
      <c r="T9" s="90"/>
      <c r="V9" s="90"/>
    </row>
    <row r="10" spans="1:22">
      <c r="A10" s="96">
        <v>1</v>
      </c>
      <c r="B10" s="97" t="s">
        <v>43</v>
      </c>
      <c r="C10" s="98">
        <f>INDEX([1]AVTRP24!$H$4:$H$44,MATCH(A10,[1]AVTRP24!$A$4:$A$44,0))</f>
        <v>53403033918</v>
      </c>
      <c r="D10" s="99">
        <f>INDEX([2]Summary!$C$2:$C$42,MATCH($A10,[2]Summary!$A$2:$A$42,0))</f>
        <v>1.4059999999999999E-3</v>
      </c>
      <c r="E10" s="99">
        <f>INDEX([2]Summary!$M$2:$M$42,MATCH($A10,[2]Summary!$A$2:$A$42,0))</f>
        <v>7.7800000000000005E-4</v>
      </c>
      <c r="F10" s="99">
        <f>INDEX([2]Summary!$J$2:$J$42,MATCH($A10,[2]Summary!$A$2:$A$42,0))</f>
        <v>6.3999999999999997E-5</v>
      </c>
      <c r="G10" s="99">
        <f>INDEX([2]Summary!$E$2:$E$42,MATCH($A10,[2]Summary!$A$2:$A$42,0))</f>
        <v>1.018E-3</v>
      </c>
      <c r="H10" s="99">
        <f>INDEX([2]Summary!$F$2:$F$42,MATCH($A10,[2]Summary!$A$2:$A$42,0))</f>
        <v>1.232E-3</v>
      </c>
      <c r="I10" s="99">
        <f>INDEX([2]Summary!$D$2:$D$42,MATCH($A10,[2]Summary!$A$2:$A$42,0))</f>
        <v>1.0200000000000001E-3</v>
      </c>
      <c r="J10" s="99">
        <v>0</v>
      </c>
      <c r="K10" s="100">
        <f t="shared" ref="K10:K50" si="0">+SUM(D10:J10)</f>
        <v>5.5180000000000003E-3</v>
      </c>
      <c r="L10" s="101"/>
      <c r="M10" s="102">
        <f>K10-F10</f>
        <v>5.4540000000000005E-3</v>
      </c>
      <c r="N10" s="101"/>
      <c r="O10" s="100">
        <f>D10+E10+H10</f>
        <v>3.4160000000000002E-3</v>
      </c>
      <c r="P10" s="101"/>
      <c r="Q10" s="101"/>
      <c r="R10" s="101"/>
      <c r="S10" s="101"/>
      <c r="T10" s="101"/>
      <c r="U10" s="101"/>
      <c r="V10" s="103"/>
    </row>
    <row r="11" spans="1:22">
      <c r="A11" s="96">
        <v>2</v>
      </c>
      <c r="B11" s="97" t="s">
        <v>44</v>
      </c>
      <c r="C11" s="98">
        <f>INDEX([1]AVTRP24!$H$4:$H$44,MATCH(A11,[1]AVTRP24!$A$4:$A$44,0))</f>
        <v>1536734673</v>
      </c>
      <c r="D11" s="99">
        <f>INDEX([2]Summary!$C$2:$C$42,MATCH($A11,[2]Summary!$A$2:$A$42,0))</f>
        <v>1.4059999999999999E-3</v>
      </c>
      <c r="E11" s="99">
        <f>INDEX([2]Summary!$M$2:$M$42,MATCH($A11,[2]Summary!$A$2:$A$42,0))</f>
        <v>1.776E-3</v>
      </c>
      <c r="F11" s="99">
        <f>INDEX([2]Summary!$J$2:$J$42,MATCH($A11,[2]Summary!$A$2:$A$42,0))</f>
        <v>3.9999999999999998E-6</v>
      </c>
      <c r="G11" s="99">
        <f>INDEX([2]Summary!$E$2:$E$42,MATCH($A11,[2]Summary!$A$2:$A$42,0))</f>
        <v>9.990000000000001E-4</v>
      </c>
      <c r="H11" s="99">
        <f>INDEX([2]Summary!$F$2:$F$42,MATCH($A11,[2]Summary!$A$2:$A$42,0))</f>
        <v>9.01E-4</v>
      </c>
      <c r="I11" s="99">
        <f>INDEX([2]Summary!$D$2:$D$42,MATCH($A11,[2]Summary!$A$2:$A$42,0))</f>
        <v>6.8300000000000001E-4</v>
      </c>
      <c r="J11" s="99">
        <v>0</v>
      </c>
      <c r="K11" s="100">
        <f t="shared" si="0"/>
        <v>5.7689999999999998E-3</v>
      </c>
      <c r="L11" s="104"/>
      <c r="M11" s="102">
        <f t="shared" ref="M11:M50" si="1">K11-F11</f>
        <v>5.7650000000000002E-3</v>
      </c>
      <c r="N11" s="105"/>
      <c r="O11" s="100">
        <f>D11+E11+H11</f>
        <v>4.0829999999999998E-3</v>
      </c>
      <c r="P11" s="101"/>
      <c r="Q11" s="105"/>
      <c r="R11" s="105"/>
      <c r="S11" s="105"/>
      <c r="T11" s="105"/>
      <c r="U11" s="105"/>
      <c r="V11" s="103"/>
    </row>
    <row r="12" spans="1:22">
      <c r="A12" s="96">
        <v>3</v>
      </c>
      <c r="B12" s="97" t="s">
        <v>45</v>
      </c>
      <c r="C12" s="98">
        <f>INDEX([1]AVTRP24!$H$4:$H$44,MATCH(A12,[1]AVTRP24!$A$4:$A$44,0))</f>
        <v>7731976861</v>
      </c>
      <c r="D12" s="99">
        <f>INDEX([2]Summary!$C$2:$C$42,MATCH($A12,[2]Summary!$A$2:$A$42,0))</f>
        <v>1.4059999999999999E-3</v>
      </c>
      <c r="E12" s="99">
        <f>INDEX([2]Summary!$M$2:$M$42,MATCH($A12,[2]Summary!$A$2:$A$42,0))</f>
        <v>1.905E-3</v>
      </c>
      <c r="F12" s="99">
        <f>INDEX([2]Summary!$J$2:$J$42,MATCH($A12,[2]Summary!$A$2:$A$42,0))</f>
        <v>5.0000000000000002E-5</v>
      </c>
      <c r="G12" s="99">
        <f>INDEX([2]Summary!$E$2:$E$42,MATCH($A12,[2]Summary!$A$2:$A$42,0))</f>
        <v>1.5280000000000001E-3</v>
      </c>
      <c r="H12" s="99">
        <f>INDEX([2]Summary!$F$2:$F$42,MATCH($A12,[2]Summary!$A$2:$A$42,0))</f>
        <v>4.66E-4</v>
      </c>
      <c r="I12" s="99">
        <f>INDEX([2]Summary!$D$2:$D$42,MATCH($A12,[2]Summary!$A$2:$A$42,0))</f>
        <v>4.4999999999999999E-4</v>
      </c>
      <c r="J12" s="99">
        <v>0</v>
      </c>
      <c r="K12" s="100">
        <f t="shared" si="0"/>
        <v>5.8050000000000003E-3</v>
      </c>
      <c r="L12" s="104"/>
      <c r="M12" s="102">
        <f t="shared" si="1"/>
        <v>5.7550000000000006E-3</v>
      </c>
      <c r="N12" s="105"/>
      <c r="O12" s="100">
        <f t="shared" ref="O12:O50" si="2">D12+E12+H12</f>
        <v>3.7769999999999995E-3</v>
      </c>
      <c r="P12" s="101"/>
      <c r="Q12" s="105"/>
      <c r="R12" s="105"/>
      <c r="S12" s="105"/>
      <c r="T12" s="105"/>
      <c r="U12" s="105"/>
      <c r="V12" s="103"/>
    </row>
    <row r="13" spans="1:22">
      <c r="A13" s="96">
        <v>4</v>
      </c>
      <c r="B13" s="97" t="s">
        <v>46</v>
      </c>
      <c r="C13" s="98">
        <f>INDEX([1]AVTRP24!$H$4:$H$44,MATCH(A13,[1]AVTRP24!$A$4:$A$44,0))</f>
        <v>10118740377</v>
      </c>
      <c r="D13" s="99">
        <f>INDEX([2]Summary!$C$2:$C$42,MATCH($A13,[2]Summary!$A$2:$A$42,0))</f>
        <v>1.4059999999999999E-3</v>
      </c>
      <c r="E13" s="99">
        <f>INDEX([2]Summary!$M$2:$M$42,MATCH($A13,[2]Summary!$A$2:$A$42,0))</f>
        <v>7.9500000000000003E-4</v>
      </c>
      <c r="F13" s="99">
        <f>INDEX([2]Summary!$J$2:$J$42,MATCH($A13,[2]Summary!$A$2:$A$42,0))</f>
        <v>3.1000000000000001E-5</v>
      </c>
      <c r="G13" s="99">
        <f>INDEX([2]Summary!$E$2:$E$42,MATCH($A13,[2]Summary!$A$2:$A$42,0))</f>
        <v>4.75E-4</v>
      </c>
      <c r="H13" s="99">
        <f>INDEX([2]Summary!$F$2:$F$42,MATCH($A13,[2]Summary!$A$2:$A$42,0))</f>
        <v>8.5499999999999997E-4</v>
      </c>
      <c r="I13" s="99">
        <f>INDEX([2]Summary!$D$2:$D$42,MATCH($A13,[2]Summary!$A$2:$A$42,0))</f>
        <v>2.0249999999999999E-3</v>
      </c>
      <c r="J13" s="99">
        <v>0</v>
      </c>
      <c r="K13" s="100">
        <f t="shared" si="0"/>
        <v>5.587E-3</v>
      </c>
      <c r="L13" s="104"/>
      <c r="M13" s="102">
        <f t="shared" si="1"/>
        <v>5.5560000000000002E-3</v>
      </c>
      <c r="N13" s="105"/>
      <c r="O13" s="100">
        <f t="shared" si="2"/>
        <v>3.0559999999999997E-3</v>
      </c>
      <c r="P13" s="101"/>
      <c r="Q13" s="105"/>
      <c r="R13" s="105"/>
      <c r="S13" s="105"/>
      <c r="T13" s="105"/>
      <c r="U13" s="105"/>
      <c r="V13" s="103"/>
    </row>
    <row r="14" spans="1:22">
      <c r="A14" s="96">
        <v>5</v>
      </c>
      <c r="B14" s="97" t="s">
        <v>47</v>
      </c>
      <c r="C14" s="98">
        <f>INDEX([1]AVTRP24!$H$4:$H$44,MATCH(A14,[1]AVTRP24!$A$4:$A$44,0))</f>
        <v>2704907523</v>
      </c>
      <c r="D14" s="99">
        <f>INDEX([2]Summary!$C$2:$C$42,MATCH($A14,[2]Summary!$A$2:$A$42,0))</f>
        <v>1.4059999999999999E-3</v>
      </c>
      <c r="E14" s="99">
        <f>INDEX([2]Summary!$M$2:$M$42,MATCH($A14,[2]Summary!$A$2:$A$42,0))</f>
        <v>1.9729999999999999E-3</v>
      </c>
      <c r="F14" s="99">
        <f>INDEX([2]Summary!$J$2:$J$42,MATCH($A14,[2]Summary!$A$2:$A$42,0))</f>
        <v>1.02E-4</v>
      </c>
      <c r="G14" s="99">
        <f>INDEX([2]Summary!$E$2:$E$42,MATCH($A14,[2]Summary!$A$2:$A$42,0))</f>
        <v>1.312E-3</v>
      </c>
      <c r="H14" s="99">
        <f>INDEX([2]Summary!$F$2:$F$42,MATCH($A14,[2]Summary!$A$2:$A$42,0))</f>
        <v>7.8299999999999995E-4</v>
      </c>
      <c r="I14" s="99">
        <f>INDEX([2]Summary!$D$2:$D$42,MATCH($A14,[2]Summary!$A$2:$A$42,0))</f>
        <v>9.4700000000000003E-4</v>
      </c>
      <c r="J14" s="99">
        <v>0</v>
      </c>
      <c r="K14" s="100">
        <f t="shared" si="0"/>
        <v>6.5230000000000002E-3</v>
      </c>
      <c r="L14" s="104"/>
      <c r="M14" s="102">
        <f t="shared" si="1"/>
        <v>6.4210000000000005E-3</v>
      </c>
      <c r="N14" s="105"/>
      <c r="O14" s="100">
        <f t="shared" si="2"/>
        <v>4.1619999999999999E-3</v>
      </c>
      <c r="P14" s="101"/>
      <c r="Q14" s="105"/>
      <c r="R14" s="105"/>
      <c r="S14" s="105"/>
      <c r="T14" s="105"/>
      <c r="U14" s="105"/>
      <c r="V14" s="103"/>
    </row>
    <row r="15" spans="1:22">
      <c r="A15" s="96">
        <v>6</v>
      </c>
      <c r="B15" s="97" t="s">
        <v>48</v>
      </c>
      <c r="C15" s="98">
        <f>INDEX([1]AVTRP24!$H$4:$H$44,MATCH(A15,[1]AVTRP24!$A$4:$A$44,0))</f>
        <v>443335584</v>
      </c>
      <c r="D15" s="99">
        <f>INDEX([2]Summary!$C$2:$C$42,MATCH($A15,[2]Summary!$A$2:$A$42,0))</f>
        <v>1.4059999999999999E-3</v>
      </c>
      <c r="E15" s="99">
        <f>INDEX([2]Summary!$M$2:$M$42,MATCH($A15,[2]Summary!$A$2:$A$42,0))</f>
        <v>1.598E-3</v>
      </c>
      <c r="F15" s="99">
        <f>INDEX([2]Summary!$J$2:$J$42,MATCH($A15,[2]Summary!$A$2:$A$42,0))</f>
        <v>0</v>
      </c>
      <c r="G15" s="99">
        <f>INDEX([2]Summary!$E$2:$E$42,MATCH($A15,[2]Summary!$A$2:$A$42,0))</f>
        <v>8.0000000000000004E-4</v>
      </c>
      <c r="H15" s="99">
        <f>INDEX([2]Summary!$F$2:$F$42,MATCH($A15,[2]Summary!$A$2:$A$42,0))</f>
        <v>0</v>
      </c>
      <c r="I15" s="99">
        <f>INDEX([2]Summary!$D$2:$D$42,MATCH($A15,[2]Summary!$A$2:$A$42,0))</f>
        <v>3.0299999999999999E-4</v>
      </c>
      <c r="J15" s="99">
        <v>0</v>
      </c>
      <c r="K15" s="100">
        <f t="shared" si="0"/>
        <v>4.1069999999999995E-3</v>
      </c>
      <c r="L15" s="104"/>
      <c r="M15" s="102">
        <f t="shared" si="1"/>
        <v>4.1069999999999995E-3</v>
      </c>
      <c r="N15" s="105"/>
      <c r="O15" s="100">
        <f t="shared" si="2"/>
        <v>3.0039999999999997E-3</v>
      </c>
      <c r="P15" s="101"/>
      <c r="Q15" s="105"/>
      <c r="R15" s="105"/>
      <c r="S15" s="105"/>
      <c r="T15" s="105"/>
      <c r="U15" s="105"/>
      <c r="V15" s="103"/>
    </row>
    <row r="16" spans="1:22">
      <c r="A16" s="96">
        <v>7</v>
      </c>
      <c r="B16" s="97" t="s">
        <v>49</v>
      </c>
      <c r="C16" s="98">
        <f>INDEX([1]AVTRP24!$H$4:$H$44,MATCH(A16,[1]AVTRP24!$A$4:$A$44,0))</f>
        <v>40303794199</v>
      </c>
      <c r="D16" s="99">
        <f>INDEX([2]Summary!$C$2:$C$42,MATCH($A16,[2]Summary!$A$2:$A$42,0))</f>
        <v>1.4059999999999999E-3</v>
      </c>
      <c r="E16" s="99">
        <f>INDEX([2]Summary!$M$2:$M$42,MATCH($A16,[2]Summary!$A$2:$A$42,0))</f>
        <v>1.3860000000000001E-3</v>
      </c>
      <c r="F16" s="99">
        <f>INDEX([2]Summary!$J$2:$J$42,MATCH($A16,[2]Summary!$A$2:$A$42,0))</f>
        <v>8.3999999999999995E-5</v>
      </c>
      <c r="G16" s="99">
        <f>INDEX([2]Summary!$E$2:$E$42,MATCH($A16,[2]Summary!$A$2:$A$42,0))</f>
        <v>4.35E-4</v>
      </c>
      <c r="H16" s="99">
        <f>INDEX([2]Summary!$F$2:$F$42,MATCH($A16,[2]Summary!$A$2:$A$42,0))</f>
        <v>1.2880000000000001E-3</v>
      </c>
      <c r="I16" s="99">
        <f>INDEX([2]Summary!$D$2:$D$42,MATCH($A16,[2]Summary!$A$2:$A$42,0))</f>
        <v>1.629E-3</v>
      </c>
      <c r="J16" s="99">
        <v>0</v>
      </c>
      <c r="K16" s="100">
        <f t="shared" si="0"/>
        <v>6.2280000000000009E-3</v>
      </c>
      <c r="L16" s="104"/>
      <c r="M16" s="102">
        <f t="shared" si="1"/>
        <v>6.144000000000001E-3</v>
      </c>
      <c r="N16" s="105"/>
      <c r="O16" s="100">
        <f t="shared" si="2"/>
        <v>4.0800000000000003E-3</v>
      </c>
      <c r="P16" s="101"/>
      <c r="Q16" s="105"/>
      <c r="R16" s="105"/>
      <c r="S16" s="105"/>
      <c r="T16" s="105"/>
      <c r="U16" s="105"/>
      <c r="V16" s="103"/>
    </row>
    <row r="17" spans="1:22">
      <c r="A17" s="96">
        <v>8</v>
      </c>
      <c r="B17" s="97" t="s">
        <v>50</v>
      </c>
      <c r="C17" s="98">
        <f>INDEX([1]AVTRP24!$H$4:$H$44,MATCH(A17,[1]AVTRP24!$A$4:$A$44,0))</f>
        <v>3800364778</v>
      </c>
      <c r="D17" s="99">
        <f>INDEX([2]Summary!$C$2:$C$42,MATCH($A17,[2]Summary!$A$2:$A$42,0))</f>
        <v>1.4059999999999999E-3</v>
      </c>
      <c r="E17" s="99">
        <f>INDEX([2]Summary!$M$2:$M$42,MATCH($A17,[2]Summary!$A$2:$A$42,0))</f>
        <v>1.1299999999999999E-3</v>
      </c>
      <c r="F17" s="99">
        <f>INDEX([2]Summary!$J$2:$J$42,MATCH($A17,[2]Summary!$A$2:$A$42,0))</f>
        <v>4.0000000000000003E-5</v>
      </c>
      <c r="G17" s="99">
        <f>INDEX([2]Summary!$E$2:$E$42,MATCH($A17,[2]Summary!$A$2:$A$42,0))</f>
        <v>2.614E-3</v>
      </c>
      <c r="H17" s="99">
        <f>INDEX([2]Summary!$F$2:$F$42,MATCH($A17,[2]Summary!$A$2:$A$42,0))</f>
        <v>1.2179999999999999E-3</v>
      </c>
      <c r="I17" s="99">
        <f>INDEX([2]Summary!$D$2:$D$42,MATCH($A17,[2]Summary!$A$2:$A$42,0))</f>
        <v>1.2800000000000001E-3</v>
      </c>
      <c r="J17" s="99">
        <v>0</v>
      </c>
      <c r="K17" s="100">
        <f t="shared" si="0"/>
        <v>7.6880000000000004E-3</v>
      </c>
      <c r="L17" s="104"/>
      <c r="M17" s="102">
        <f t="shared" si="1"/>
        <v>7.6480000000000003E-3</v>
      </c>
      <c r="N17" s="105"/>
      <c r="O17" s="100">
        <f t="shared" si="2"/>
        <v>3.754E-3</v>
      </c>
      <c r="P17" s="101"/>
      <c r="Q17" s="105"/>
      <c r="R17" s="105"/>
      <c r="S17" s="105"/>
      <c r="T17" s="105"/>
      <c r="U17" s="105"/>
      <c r="V17" s="103"/>
    </row>
    <row r="18" spans="1:22">
      <c r="A18" s="96">
        <v>9</v>
      </c>
      <c r="B18" s="97" t="s">
        <v>51</v>
      </c>
      <c r="C18" s="98">
        <f>INDEX([1]AVTRP24!$H$4:$H$44,MATCH(A18,[1]AVTRP24!$A$4:$A$44,0))</f>
        <v>2186169275</v>
      </c>
      <c r="D18" s="99">
        <f>INDEX([2]Summary!$C$2:$C$42,MATCH($A18,[2]Summary!$A$2:$A$42,0))</f>
        <v>1.4059999999999999E-3</v>
      </c>
      <c r="E18" s="99">
        <f>INDEX([2]Summary!$M$2:$M$42,MATCH($A18,[2]Summary!$A$2:$A$42,0))</f>
        <v>2.147E-3</v>
      </c>
      <c r="F18" s="99">
        <f>INDEX([2]Summary!$J$2:$J$42,MATCH($A18,[2]Summary!$A$2:$A$42,0))</f>
        <v>2.4000000000000001E-5</v>
      </c>
      <c r="G18" s="99">
        <f>INDEX([2]Summary!$E$2:$E$42,MATCH($A18,[2]Summary!$A$2:$A$42,0))</f>
        <v>1.127E-3</v>
      </c>
      <c r="H18" s="99">
        <f>INDEX([2]Summary!$F$2:$F$42,MATCH($A18,[2]Summary!$A$2:$A$42,0))</f>
        <v>1.673E-3</v>
      </c>
      <c r="I18" s="99">
        <f>INDEX([2]Summary!$D$2:$D$42,MATCH($A18,[2]Summary!$A$2:$A$42,0))</f>
        <v>2.173E-3</v>
      </c>
      <c r="J18" s="99">
        <v>0</v>
      </c>
      <c r="K18" s="100">
        <f t="shared" si="0"/>
        <v>8.5500000000000003E-3</v>
      </c>
      <c r="L18" s="104"/>
      <c r="M18" s="102">
        <f t="shared" si="1"/>
        <v>8.5260000000000006E-3</v>
      </c>
      <c r="N18" s="105"/>
      <c r="O18" s="100">
        <f t="shared" si="2"/>
        <v>5.2259999999999997E-3</v>
      </c>
      <c r="P18" s="101"/>
      <c r="Q18" s="105"/>
      <c r="R18" s="105"/>
      <c r="S18" s="105"/>
      <c r="T18" s="105"/>
      <c r="U18" s="105"/>
      <c r="V18" s="103"/>
    </row>
    <row r="19" spans="1:22">
      <c r="A19" s="96">
        <v>10</v>
      </c>
      <c r="B19" s="97" t="s">
        <v>52</v>
      </c>
      <c r="C19" s="98">
        <f>INDEX([1]AVTRP24!$H$4:$H$44,MATCH(A19,[1]AVTRP24!$A$4:$A$44,0))</f>
        <v>828529705</v>
      </c>
      <c r="D19" s="99">
        <f>INDEX([2]Summary!$C$2:$C$42,MATCH($A19,[2]Summary!$A$2:$A$42,0))</f>
        <v>1.4059999999999999E-3</v>
      </c>
      <c r="E19" s="99">
        <f>INDEX([2]Summary!$M$2:$M$42,MATCH($A19,[2]Summary!$A$2:$A$42,0))</f>
        <v>7.8700000000000005E-4</v>
      </c>
      <c r="F19" s="99">
        <f>INDEX([2]Summary!$J$2:$J$42,MATCH($A19,[2]Summary!$A$2:$A$42,0))</f>
        <v>1.9999999999999999E-6</v>
      </c>
      <c r="G19" s="99">
        <f>INDEX([2]Summary!$E$2:$E$42,MATCH($A19,[2]Summary!$A$2:$A$42,0))</f>
        <v>2.2070000000000002E-3</v>
      </c>
      <c r="H19" s="99">
        <f>INDEX([2]Summary!$F$2:$F$42,MATCH($A19,[2]Summary!$A$2:$A$42,0))</f>
        <v>1.5690000000000001E-3</v>
      </c>
      <c r="I19" s="99">
        <f>INDEX([2]Summary!$D$2:$D$42,MATCH($A19,[2]Summary!$A$2:$A$42,0))</f>
        <v>0</v>
      </c>
      <c r="J19" s="99">
        <v>0</v>
      </c>
      <c r="K19" s="100">
        <f t="shared" si="0"/>
        <v>5.9709999999999997E-3</v>
      </c>
      <c r="L19" s="104"/>
      <c r="M19" s="102">
        <f t="shared" si="1"/>
        <v>5.9689999999999995E-3</v>
      </c>
      <c r="N19" s="105"/>
      <c r="O19" s="100">
        <f t="shared" si="2"/>
        <v>3.7620000000000002E-3</v>
      </c>
      <c r="P19" s="101"/>
      <c r="Q19" s="105"/>
      <c r="R19" s="105"/>
      <c r="S19" s="105"/>
      <c r="T19" s="105"/>
      <c r="U19" s="105"/>
      <c r="V19" s="103"/>
    </row>
    <row r="20" spans="1:22">
      <c r="A20" s="96">
        <v>11</v>
      </c>
      <c r="B20" s="97" t="s">
        <v>53</v>
      </c>
      <c r="C20" s="98">
        <f>INDEX([1]AVTRP24!$H$4:$H$44,MATCH(A20,[1]AVTRP24!$A$4:$A$44,0))</f>
        <v>3398538279</v>
      </c>
      <c r="D20" s="99">
        <f>INDEX([2]Summary!$C$2:$C$42,MATCH($A20,[2]Summary!$A$2:$A$42,0))</f>
        <v>1.4059999999999999E-3</v>
      </c>
      <c r="E20" s="99">
        <f>INDEX([2]Summary!$M$2:$M$42,MATCH($A20,[2]Summary!$A$2:$A$42,0))</f>
        <v>1.714E-3</v>
      </c>
      <c r="F20" s="99">
        <f>INDEX([2]Summary!$J$2:$J$42,MATCH($A20,[2]Summary!$A$2:$A$42,0))</f>
        <v>1.73E-4</v>
      </c>
      <c r="G20" s="99">
        <f>INDEX([2]Summary!$E$2:$E$42,MATCH($A20,[2]Summary!$A$2:$A$42,0))</f>
        <v>1.358E-3</v>
      </c>
      <c r="H20" s="99">
        <f>INDEX([2]Summary!$F$2:$F$42,MATCH($A20,[2]Summary!$A$2:$A$42,0))</f>
        <v>1E-3</v>
      </c>
      <c r="I20" s="99">
        <f>INDEX([2]Summary!$D$2:$D$42,MATCH($A20,[2]Summary!$A$2:$A$42,0))</f>
        <v>7.9600000000000005E-4</v>
      </c>
      <c r="J20" s="99">
        <v>0</v>
      </c>
      <c r="K20" s="100">
        <f t="shared" si="0"/>
        <v>6.4469999999999996E-3</v>
      </c>
      <c r="L20" s="104"/>
      <c r="M20" s="102">
        <f t="shared" si="1"/>
        <v>6.2739999999999992E-3</v>
      </c>
      <c r="N20" s="105"/>
      <c r="O20" s="100">
        <f t="shared" si="2"/>
        <v>4.1200000000000004E-3</v>
      </c>
      <c r="P20" s="101"/>
      <c r="Q20" s="105"/>
      <c r="R20" s="105"/>
      <c r="S20" s="105"/>
      <c r="T20" s="105"/>
      <c r="U20" s="105"/>
      <c r="V20" s="103"/>
    </row>
    <row r="21" spans="1:22">
      <c r="A21" s="96">
        <v>12</v>
      </c>
      <c r="B21" s="97" t="s">
        <v>54</v>
      </c>
      <c r="C21" s="98">
        <f>INDEX([1]AVTRP24!$H$4:$H$44,MATCH(A21,[1]AVTRP24!$A$4:$A$44,0))</f>
        <v>45610096226</v>
      </c>
      <c r="D21" s="99">
        <f>INDEX([2]Summary!$C$2:$C$42,MATCH($A21,[2]Summary!$A$2:$A$42,0))</f>
        <v>1.4059999999999999E-3</v>
      </c>
      <c r="E21" s="99">
        <f>INDEX([2]Summary!$M$2:$M$42,MATCH($A21,[2]Summary!$A$2:$A$42,0))</f>
        <v>1.7459999999999999E-3</v>
      </c>
      <c r="F21" s="99">
        <f>INDEX([2]Summary!$J$2:$J$42,MATCH($A21,[2]Summary!$A$2:$A$42,0))</f>
        <v>1.3200000000000001E-4</v>
      </c>
      <c r="G21" s="99">
        <f>INDEX([2]Summary!$E$2:$E$42,MATCH($A21,[2]Summary!$A$2:$A$42,0))</f>
        <v>1.524E-3</v>
      </c>
      <c r="H21" s="99">
        <f>INDEX([2]Summary!$F$2:$F$42,MATCH($A21,[2]Summary!$A$2:$A$42,0))</f>
        <v>8.0199999999999998E-4</v>
      </c>
      <c r="I21" s="99">
        <f>INDEX([2]Summary!$D$2:$D$42,MATCH($A21,[2]Summary!$A$2:$A$42,0))</f>
        <v>7.4299999999999995E-4</v>
      </c>
      <c r="J21" s="99">
        <v>0</v>
      </c>
      <c r="K21" s="100">
        <f t="shared" si="0"/>
        <v>6.3529999999999993E-3</v>
      </c>
      <c r="L21" s="104"/>
      <c r="M21" s="102">
        <f t="shared" si="1"/>
        <v>6.2209999999999991E-3</v>
      </c>
      <c r="N21" s="105"/>
      <c r="O21" s="100">
        <f t="shared" si="2"/>
        <v>3.954E-3</v>
      </c>
      <c r="P21" s="101"/>
      <c r="Q21" s="105"/>
      <c r="R21" s="105"/>
      <c r="S21" s="105"/>
      <c r="T21" s="105"/>
      <c r="U21" s="105"/>
      <c r="V21" s="103"/>
    </row>
    <row r="22" spans="1:22">
      <c r="A22" s="96">
        <v>13</v>
      </c>
      <c r="B22" s="97" t="s">
        <v>55</v>
      </c>
      <c r="C22" s="98">
        <f>INDEX([1]AVTRP24!$H$4:$H$44,MATCH(A22,[1]AVTRP24!$A$4:$A$44,0))</f>
        <v>7820683316</v>
      </c>
      <c r="D22" s="99">
        <f>INDEX([2]Summary!$C$2:$C$42,MATCH($A22,[2]Summary!$A$2:$A$42,0))</f>
        <v>1.4059999999999999E-3</v>
      </c>
      <c r="E22" s="99">
        <f>INDEX([2]Summary!$M$2:$M$42,MATCH($A22,[2]Summary!$A$2:$A$42,0))</f>
        <v>7.8899999999999999E-4</v>
      </c>
      <c r="F22" s="99">
        <f>INDEX([2]Summary!$J$2:$J$42,MATCH($A22,[2]Summary!$A$2:$A$42,0))</f>
        <v>3.1999999999999999E-5</v>
      </c>
      <c r="G22" s="99">
        <f>INDEX([2]Summary!$E$2:$E$42,MATCH($A22,[2]Summary!$A$2:$A$42,0))</f>
        <v>7.0500000000000001E-4</v>
      </c>
      <c r="H22" s="99">
        <f>INDEX([2]Summary!$F$2:$F$42,MATCH($A22,[2]Summary!$A$2:$A$42,0))</f>
        <v>5.6499999999999996E-4</v>
      </c>
      <c r="I22" s="99">
        <f>INDEX([2]Summary!$D$2:$D$42,MATCH($A22,[2]Summary!$A$2:$A$42,0))</f>
        <v>1.2210000000000001E-3</v>
      </c>
      <c r="J22" s="99">
        <v>0</v>
      </c>
      <c r="K22" s="100">
        <f t="shared" si="0"/>
        <v>4.718E-3</v>
      </c>
      <c r="L22" s="104"/>
      <c r="M22" s="102">
        <f t="shared" si="1"/>
        <v>4.6860000000000001E-3</v>
      </c>
      <c r="N22" s="105"/>
      <c r="O22" s="100">
        <f t="shared" si="2"/>
        <v>2.7599999999999999E-3</v>
      </c>
      <c r="P22" s="101"/>
      <c r="Q22" s="105"/>
      <c r="R22" s="105"/>
      <c r="S22" s="105"/>
      <c r="T22" s="105"/>
      <c r="U22" s="105"/>
      <c r="V22" s="103"/>
    </row>
    <row r="23" spans="1:22">
      <c r="A23" s="96">
        <v>14</v>
      </c>
      <c r="B23" s="97" t="s">
        <v>56</v>
      </c>
      <c r="C23" s="98">
        <f>INDEX([1]AVTRP24!$H$4:$H$44,MATCH(A23,[1]AVTRP24!$A$4:$A$44,0))</f>
        <v>40139907456</v>
      </c>
      <c r="D23" s="99">
        <f>INDEX([2]Summary!$C$2:$C$42,MATCH($A23,[2]Summary!$A$2:$A$42,0))</f>
        <v>1.4059999999999999E-3</v>
      </c>
      <c r="E23" s="99">
        <f>INDEX([2]Summary!$M$2:$M$42,MATCH($A23,[2]Summary!$A$2:$A$42,0))</f>
        <v>9.3700000000000001E-4</v>
      </c>
      <c r="F23" s="99">
        <f>INDEX([2]Summary!$J$2:$J$42,MATCH($A23,[2]Summary!$A$2:$A$42,0))</f>
        <v>1.03E-4</v>
      </c>
      <c r="G23" s="99">
        <f>INDEX([2]Summary!$E$2:$E$42,MATCH($A23,[2]Summary!$A$2:$A$42,0))</f>
        <v>1.1869999999999999E-3</v>
      </c>
      <c r="H23" s="99">
        <f>INDEX([2]Summary!$F$2:$F$42,MATCH($A23,[2]Summary!$A$2:$A$42,0))</f>
        <v>1.6000000000000001E-3</v>
      </c>
      <c r="I23" s="99">
        <f>INDEX([2]Summary!$D$2:$D$42,MATCH($A23,[2]Summary!$A$2:$A$42,0))</f>
        <v>5.04E-4</v>
      </c>
      <c r="J23" s="99">
        <v>0</v>
      </c>
      <c r="K23" s="100">
        <f t="shared" si="0"/>
        <v>5.7369999999999999E-3</v>
      </c>
      <c r="L23" s="104"/>
      <c r="M23" s="102">
        <f t="shared" si="1"/>
        <v>5.6340000000000001E-3</v>
      </c>
      <c r="N23" s="106"/>
      <c r="O23" s="100">
        <f t="shared" si="2"/>
        <v>3.9430000000000003E-3</v>
      </c>
      <c r="P23" s="101"/>
      <c r="Q23" s="105"/>
      <c r="R23" s="105"/>
      <c r="S23" s="105"/>
      <c r="T23" s="105"/>
      <c r="U23" s="103"/>
    </row>
    <row r="24" spans="1:22">
      <c r="A24" s="96">
        <v>15</v>
      </c>
      <c r="B24" s="97" t="s">
        <v>57</v>
      </c>
      <c r="C24" s="98">
        <f>INDEX([1]AVTRP24!$H$4:$H$44,MATCH(A24,[1]AVTRP24!$A$4:$A$44,0))</f>
        <v>1761050731</v>
      </c>
      <c r="D24" s="99">
        <f>INDEX([2]Summary!$C$2:$C$42,MATCH($A24,[2]Summary!$A$2:$A$42,0))</f>
        <v>1.4059999999999999E-3</v>
      </c>
      <c r="E24" s="99">
        <f>INDEX([2]Summary!$M$2:$M$42,MATCH($A24,[2]Summary!$A$2:$A$42,0))</f>
        <v>2.032E-3</v>
      </c>
      <c r="F24" s="99">
        <f>INDEX([2]Summary!$J$2:$J$42,MATCH($A24,[2]Summary!$A$2:$A$42,0))</f>
        <v>1.1E-5</v>
      </c>
      <c r="G24" s="99">
        <f>INDEX([2]Summary!$E$2:$E$42,MATCH($A24,[2]Summary!$A$2:$A$42,0))</f>
        <v>1.7340000000000001E-3</v>
      </c>
      <c r="H24" s="99">
        <f>INDEX([2]Summary!$F$2:$F$42,MATCH($A24,[2]Summary!$A$2:$A$42,0))</f>
        <v>2.99E-4</v>
      </c>
      <c r="I24" s="99">
        <f>INDEX([2]Summary!$D$2:$D$42,MATCH($A24,[2]Summary!$A$2:$A$42,0))</f>
        <v>1.1000000000000001E-3</v>
      </c>
      <c r="J24" s="99">
        <v>0</v>
      </c>
      <c r="K24" s="100">
        <f t="shared" si="0"/>
        <v>6.5820000000000002E-3</v>
      </c>
      <c r="L24" s="104"/>
      <c r="M24" s="102">
        <f t="shared" si="1"/>
        <v>6.5710000000000005E-3</v>
      </c>
      <c r="N24" s="105"/>
      <c r="O24" s="100">
        <f t="shared" si="2"/>
        <v>3.7369999999999999E-3</v>
      </c>
      <c r="P24" s="101"/>
      <c r="Q24" s="105"/>
      <c r="R24" s="105"/>
      <c r="S24" s="105"/>
      <c r="T24" s="105"/>
      <c r="U24" s="105"/>
      <c r="V24" s="103"/>
    </row>
    <row r="25" spans="1:22">
      <c r="A25" s="96">
        <v>16</v>
      </c>
      <c r="B25" s="97" t="s">
        <v>58</v>
      </c>
      <c r="C25" s="98">
        <f>INDEX([1]AVTRP24!$H$4:$H$44,MATCH(A25,[1]AVTRP24!$A$4:$A$44,0))</f>
        <v>2748188422</v>
      </c>
      <c r="D25" s="99">
        <f>INDEX([2]Summary!$C$2:$C$42,MATCH($A25,[2]Summary!$A$2:$A$42,0))</f>
        <v>1.4059999999999999E-3</v>
      </c>
      <c r="E25" s="99">
        <f>INDEX([2]Summary!$M$2:$M$42,MATCH($A25,[2]Summary!$A$2:$A$42,0))</f>
        <v>1.0499999999999999E-3</v>
      </c>
      <c r="F25" s="99">
        <f>INDEX([2]Summary!$J$2:$J$42,MATCH($A25,[2]Summary!$A$2:$A$42,0))</f>
        <v>9.9999999999999995E-7</v>
      </c>
      <c r="G25" s="99">
        <f>INDEX([2]Summary!$E$2:$E$42,MATCH($A25,[2]Summary!$A$2:$A$42,0))</f>
        <v>5.9800000000000001E-4</v>
      </c>
      <c r="H25" s="99">
        <f>INDEX([2]Summary!$F$2:$F$42,MATCH($A25,[2]Summary!$A$2:$A$42,0))</f>
        <v>6.1300000000000005E-4</v>
      </c>
      <c r="I25" s="99">
        <f>INDEX([2]Summary!$D$2:$D$42,MATCH($A25,[2]Summary!$A$2:$A$42,0))</f>
        <v>0</v>
      </c>
      <c r="J25" s="99">
        <v>0</v>
      </c>
      <c r="K25" s="100">
        <f t="shared" si="0"/>
        <v>3.6680000000000003E-3</v>
      </c>
      <c r="L25" s="104"/>
      <c r="M25" s="102">
        <f t="shared" si="1"/>
        <v>3.6670000000000001E-3</v>
      </c>
      <c r="N25" s="105"/>
      <c r="O25" s="100">
        <f t="shared" si="2"/>
        <v>3.0689999999999997E-3</v>
      </c>
      <c r="P25" s="101"/>
      <c r="Q25" s="105"/>
      <c r="R25" s="105"/>
      <c r="S25" s="105"/>
      <c r="T25" s="105"/>
      <c r="U25" s="105"/>
      <c r="V25" s="103"/>
    </row>
    <row r="26" spans="1:22">
      <c r="A26" s="96">
        <v>17</v>
      </c>
      <c r="B26" s="97" t="s">
        <v>59</v>
      </c>
      <c r="C26" s="98">
        <f>INDEX([1]AVTRP24!$H$4:$H$44,MATCH(A26,[1]AVTRP24!$A$4:$A$44,0))</f>
        <v>2978993558</v>
      </c>
      <c r="D26" s="99">
        <f>INDEX([2]Summary!$C$2:$C$42,MATCH($A26,[2]Summary!$A$2:$A$42,0))</f>
        <v>1.4059999999999999E-3</v>
      </c>
      <c r="E26" s="99">
        <f>INDEX([2]Summary!$M$2:$M$42,MATCH($A26,[2]Summary!$A$2:$A$42,0))</f>
        <v>2.1870000000000001E-3</v>
      </c>
      <c r="F26" s="99">
        <f>INDEX([2]Summary!$J$2:$J$42,MATCH($A26,[2]Summary!$A$2:$A$42,0))</f>
        <v>9.0000000000000002E-6</v>
      </c>
      <c r="G26" s="99">
        <f>INDEX([2]Summary!$E$2:$E$42,MATCH($A26,[2]Summary!$A$2:$A$42,0))</f>
        <v>1.6739999999999999E-3</v>
      </c>
      <c r="H26" s="99">
        <f>INDEX([2]Summary!$F$2:$F$42,MATCH($A26,[2]Summary!$A$2:$A$42,0))</f>
        <v>7.0600000000000003E-4</v>
      </c>
      <c r="I26" s="99">
        <f>INDEX([2]Summary!$D$2:$D$42,MATCH($A26,[2]Summary!$A$2:$A$42,0))</f>
        <v>0</v>
      </c>
      <c r="J26" s="99">
        <v>0</v>
      </c>
      <c r="K26" s="100">
        <f t="shared" si="0"/>
        <v>5.9819999999999995E-3</v>
      </c>
      <c r="L26" s="104"/>
      <c r="M26" s="102">
        <f t="shared" si="1"/>
        <v>5.9729999999999991E-3</v>
      </c>
      <c r="N26" s="105"/>
      <c r="O26" s="100">
        <f t="shared" si="2"/>
        <v>4.2989999999999999E-3</v>
      </c>
      <c r="P26" s="101"/>
      <c r="Q26" s="105"/>
      <c r="R26" s="105"/>
      <c r="S26" s="105"/>
      <c r="T26" s="105"/>
      <c r="U26" s="105"/>
      <c r="V26" s="103"/>
    </row>
    <row r="27" spans="1:22">
      <c r="A27" s="96">
        <v>18</v>
      </c>
      <c r="B27" s="97" t="s">
        <v>60</v>
      </c>
      <c r="C27" s="98">
        <f>INDEX([1]AVTRP24!$H$4:$H$44,MATCH(A27,[1]AVTRP24!$A$4:$A$44,0))</f>
        <v>2445635577</v>
      </c>
      <c r="D27" s="99">
        <f>INDEX([2]Summary!$C$2:$C$42,MATCH($A27,[2]Summary!$A$2:$A$42,0))</f>
        <v>1.4059999999999999E-3</v>
      </c>
      <c r="E27" s="99">
        <f>INDEX([2]Summary!$M$2:$M$42,MATCH($A27,[2]Summary!$A$2:$A$42,0))</f>
        <v>2.1350000000000002E-3</v>
      </c>
      <c r="F27" s="99">
        <f>INDEX([2]Summary!$J$2:$J$42,MATCH($A27,[2]Summary!$A$2:$A$42,0))</f>
        <v>1.5E-5</v>
      </c>
      <c r="G27" s="99">
        <f>INDEX([2]Summary!$E$2:$E$42,MATCH($A27,[2]Summary!$A$2:$A$42,0))</f>
        <v>1.606E-3</v>
      </c>
      <c r="H27" s="99">
        <f>INDEX([2]Summary!$F$2:$F$42,MATCH($A27,[2]Summary!$A$2:$A$42,0))</f>
        <v>0</v>
      </c>
      <c r="I27" s="99">
        <f>INDEX([2]Summary!$D$2:$D$42,MATCH($A27,[2]Summary!$A$2:$A$42,0))</f>
        <v>2.0470000000000002E-3</v>
      </c>
      <c r="J27" s="99">
        <v>0</v>
      </c>
      <c r="K27" s="100">
        <f t="shared" si="0"/>
        <v>7.2090000000000001E-3</v>
      </c>
      <c r="L27" s="104"/>
      <c r="M27" s="102">
        <f t="shared" si="1"/>
        <v>7.1939999999999999E-3</v>
      </c>
      <c r="N27" s="105"/>
      <c r="O27" s="100">
        <f t="shared" si="2"/>
        <v>3.5409999999999999E-3</v>
      </c>
      <c r="P27" s="101"/>
      <c r="Q27" s="105"/>
      <c r="R27" s="105"/>
      <c r="S27" s="105"/>
      <c r="T27" s="105"/>
      <c r="U27" s="105"/>
      <c r="V27" s="103"/>
    </row>
    <row r="28" spans="1:22">
      <c r="A28" s="96">
        <v>19</v>
      </c>
      <c r="B28" s="97" t="s">
        <v>61</v>
      </c>
      <c r="C28" s="98">
        <f>INDEX([1]AVTRP24!$H$4:$H$44,MATCH(A28,[1]AVTRP24!$A$4:$A$44,0))</f>
        <v>18594664888</v>
      </c>
      <c r="D28" s="99">
        <f>INDEX([2]Summary!$C$2:$C$42,MATCH($A28,[2]Summary!$A$2:$A$42,0))</f>
        <v>1.4059999999999999E-3</v>
      </c>
      <c r="E28" s="99">
        <f>INDEX([2]Summary!$M$2:$M$42,MATCH($A28,[2]Summary!$A$2:$A$42,0))</f>
        <v>1.1590000000000001E-3</v>
      </c>
      <c r="F28" s="99">
        <f>INDEX([2]Summary!$J$2:$J$42,MATCH($A28,[2]Summary!$A$2:$A$42,0))</f>
        <v>7.4999999999999993E-5</v>
      </c>
      <c r="G28" s="99">
        <f>INDEX([2]Summary!$E$2:$E$42,MATCH($A28,[2]Summary!$A$2:$A$42,0))</f>
        <v>1.085E-3</v>
      </c>
      <c r="H28" s="99">
        <f>INDEX([2]Summary!$F$2:$F$42,MATCH($A28,[2]Summary!$A$2:$A$42,0))</f>
        <v>1.2999999999999999E-3</v>
      </c>
      <c r="I28" s="99">
        <f>INDEX([2]Summary!$D$2:$D$42,MATCH($A28,[2]Summary!$A$2:$A$42,0))</f>
        <v>2.3999999999999998E-3</v>
      </c>
      <c r="J28" s="99">
        <v>0</v>
      </c>
      <c r="K28" s="100">
        <f t="shared" si="0"/>
        <v>7.4249999999999993E-3</v>
      </c>
      <c r="L28" s="104"/>
      <c r="M28" s="102">
        <f t="shared" si="1"/>
        <v>7.3499999999999989E-3</v>
      </c>
      <c r="N28" s="105"/>
      <c r="O28" s="100">
        <f t="shared" si="2"/>
        <v>3.8649999999999999E-3</v>
      </c>
      <c r="P28" s="101"/>
      <c r="Q28" s="105"/>
      <c r="R28" s="105"/>
      <c r="S28" s="105"/>
      <c r="T28" s="105"/>
      <c r="U28" s="105"/>
      <c r="V28" s="103"/>
    </row>
    <row r="29" spans="1:22">
      <c r="A29" s="96">
        <v>20</v>
      </c>
      <c r="B29" s="97" t="s">
        <v>62</v>
      </c>
      <c r="C29" s="98">
        <f>INDEX([1]AVTRP24!$H$4:$H$44,MATCH(A29,[1]AVTRP24!$A$4:$A$44,0))</f>
        <v>1487705763</v>
      </c>
      <c r="D29" s="99">
        <f>INDEX([2]Summary!$C$2:$C$42,MATCH($A29,[2]Summary!$A$2:$A$42,0))</f>
        <v>1.4059999999999999E-3</v>
      </c>
      <c r="E29" s="99">
        <f>INDEX([2]Summary!$M$2:$M$42,MATCH($A29,[2]Summary!$A$2:$A$42,0))</f>
        <v>1.057E-3</v>
      </c>
      <c r="F29" s="99">
        <f>INDEX([2]Summary!$J$2:$J$42,MATCH($A29,[2]Summary!$A$2:$A$42,0))</f>
        <v>1.9999999999999999E-6</v>
      </c>
      <c r="G29" s="99">
        <f>INDEX([2]Summary!$E$2:$E$42,MATCH($A29,[2]Summary!$A$2:$A$42,0))</f>
        <v>1.042E-3</v>
      </c>
      <c r="H29" s="99">
        <f>INDEX([2]Summary!$F$2:$F$42,MATCH($A29,[2]Summary!$A$2:$A$42,0))</f>
        <v>9.9700000000000006E-4</v>
      </c>
      <c r="I29" s="99">
        <f>INDEX([2]Summary!$D$2:$D$42,MATCH($A29,[2]Summary!$A$2:$A$42,0))</f>
        <v>8.1999999999999998E-4</v>
      </c>
      <c r="J29" s="99">
        <v>0</v>
      </c>
      <c r="K29" s="100">
        <f t="shared" si="0"/>
        <v>5.3239999999999989E-3</v>
      </c>
      <c r="L29" s="104"/>
      <c r="M29" s="102">
        <f t="shared" si="1"/>
        <v>5.3219999999999986E-3</v>
      </c>
      <c r="N29" s="105"/>
      <c r="O29" s="100">
        <f t="shared" si="2"/>
        <v>3.46E-3</v>
      </c>
      <c r="P29" s="101"/>
      <c r="Q29" s="105"/>
      <c r="R29" s="105"/>
      <c r="S29" s="105"/>
      <c r="T29" s="105"/>
      <c r="U29" s="105"/>
      <c r="V29" s="103"/>
    </row>
    <row r="30" spans="1:22">
      <c r="A30" s="96">
        <v>21</v>
      </c>
      <c r="B30" s="97" t="s">
        <v>63</v>
      </c>
      <c r="C30" s="98">
        <f>INDEX([1]AVTRP24!$H$4:$H$44,MATCH(A30,[1]AVTRP24!$A$4:$A$44,0))</f>
        <v>3746385938</v>
      </c>
      <c r="D30" s="99">
        <f>INDEX([2]Summary!$C$2:$C$42,MATCH($A30,[2]Summary!$A$2:$A$42,0))</f>
        <v>1.4059999999999999E-3</v>
      </c>
      <c r="E30" s="99">
        <f>INDEX([2]Summary!$M$2:$M$42,MATCH($A30,[2]Summary!$A$2:$A$42,0))</f>
        <v>1.1490000000000001E-3</v>
      </c>
      <c r="F30" s="99">
        <f>INDEX([2]Summary!$J$2:$J$42,MATCH($A30,[2]Summary!$A$2:$A$42,0))</f>
        <v>1.4E-5</v>
      </c>
      <c r="G30" s="99">
        <f>INDEX([2]Summary!$E$2:$E$42,MATCH($A30,[2]Summary!$A$2:$A$42,0))</f>
        <v>3.6600000000000001E-4</v>
      </c>
      <c r="H30" s="99">
        <f>INDEX([2]Summary!$F$2:$F$42,MATCH($A30,[2]Summary!$A$2:$A$42,0))</f>
        <v>1.01E-4</v>
      </c>
      <c r="I30" s="99">
        <f>INDEX([2]Summary!$D$2:$D$42,MATCH($A30,[2]Summary!$A$2:$A$42,0))</f>
        <v>1.9599999999999999E-4</v>
      </c>
      <c r="J30" s="99">
        <v>0</v>
      </c>
      <c r="K30" s="100">
        <f t="shared" si="0"/>
        <v>3.2320000000000001E-3</v>
      </c>
      <c r="L30" s="104"/>
      <c r="M30" s="102">
        <f t="shared" si="1"/>
        <v>3.2179999999999999E-3</v>
      </c>
      <c r="N30" s="105"/>
      <c r="O30" s="100">
        <f t="shared" si="2"/>
        <v>2.6559999999999999E-3</v>
      </c>
      <c r="P30" s="101"/>
      <c r="Q30" s="105"/>
      <c r="R30" s="105"/>
      <c r="S30" s="105"/>
      <c r="T30" s="105"/>
      <c r="U30" s="105"/>
      <c r="V30" s="103"/>
    </row>
    <row r="31" spans="1:22">
      <c r="A31" s="96">
        <v>22</v>
      </c>
      <c r="B31" s="97" t="s">
        <v>64</v>
      </c>
      <c r="C31" s="98">
        <f>INDEX([1]AVTRP24!$H$4:$H$44,MATCH(A31,[1]AVTRP24!$A$4:$A$44,0))</f>
        <v>38232899427</v>
      </c>
      <c r="D31" s="99">
        <f>INDEX([2]Summary!$C$2:$C$42,MATCH($A31,[2]Summary!$A$2:$A$42,0))</f>
        <v>1.4059999999999999E-3</v>
      </c>
      <c r="E31" s="99">
        <f>INDEX([2]Summary!$M$2:$M$42,MATCH($A31,[2]Summary!$A$2:$A$42,0))</f>
        <v>1.1640000000000001E-3</v>
      </c>
      <c r="F31" s="99">
        <f>INDEX([2]Summary!$J$2:$J$42,MATCH($A31,[2]Summary!$A$2:$A$42,0))</f>
        <v>1.5E-5</v>
      </c>
      <c r="G31" s="99">
        <f>INDEX([2]Summary!$E$2:$E$42,MATCH($A31,[2]Summary!$A$2:$A$42,0))</f>
        <v>2.3499999999999999E-4</v>
      </c>
      <c r="H31" s="99">
        <f>INDEX([2]Summary!$F$2:$F$42,MATCH($A31,[2]Summary!$A$2:$A$42,0))</f>
        <v>5.3200000000000003E-4</v>
      </c>
      <c r="I31" s="99">
        <f>INDEX([2]Summary!$D$2:$D$42,MATCH($A31,[2]Summary!$A$2:$A$42,0))</f>
        <v>1.3200000000000001E-4</v>
      </c>
      <c r="J31" s="99">
        <v>0</v>
      </c>
      <c r="K31" s="100">
        <f t="shared" si="0"/>
        <v>3.4840000000000001E-3</v>
      </c>
      <c r="L31" s="104"/>
      <c r="M31" s="102">
        <f t="shared" si="1"/>
        <v>3.4690000000000003E-3</v>
      </c>
      <c r="N31" s="105"/>
      <c r="O31" s="100">
        <f t="shared" si="2"/>
        <v>3.1020000000000002E-3</v>
      </c>
      <c r="P31" s="101"/>
      <c r="Q31" s="105"/>
      <c r="R31" s="105"/>
      <c r="S31" s="105"/>
      <c r="T31" s="105"/>
      <c r="U31" s="105"/>
      <c r="V31" s="103"/>
    </row>
    <row r="32" spans="1:22">
      <c r="A32" s="96">
        <v>23</v>
      </c>
      <c r="B32" s="97" t="s">
        <v>65</v>
      </c>
      <c r="C32" s="98">
        <f>INDEX([1]AVTRP24!$H$4:$H$44,MATCH(A32,[1]AVTRP24!$A$4:$A$44,0))</f>
        <v>194168861</v>
      </c>
      <c r="D32" s="99">
        <f>INDEX([2]Summary!$C$2:$C$42,MATCH($A32,[2]Summary!$A$2:$A$42,0))</f>
        <v>1.4059999999999999E-3</v>
      </c>
      <c r="E32" s="99">
        <f>INDEX([2]Summary!$M$2:$M$42,MATCH($A32,[2]Summary!$A$2:$A$42,0))</f>
        <v>3.6600000000000001E-4</v>
      </c>
      <c r="F32" s="99">
        <f>INDEX([2]Summary!$J$2:$J$42,MATCH($A32,[2]Summary!$A$2:$A$42,0))</f>
        <v>6.9999999999999999E-6</v>
      </c>
      <c r="G32" s="99">
        <f>INDEX([2]Summary!$E$2:$E$42,MATCH($A32,[2]Summary!$A$2:$A$42,0))</f>
        <v>3.8999999999999999E-5</v>
      </c>
      <c r="H32" s="99">
        <f>INDEX([2]Summary!$F$2:$F$42,MATCH($A32,[2]Summary!$A$2:$A$42,0))</f>
        <v>1.467E-3</v>
      </c>
      <c r="I32" s="99">
        <f>INDEX([2]Summary!$D$2:$D$42,MATCH($A32,[2]Summary!$A$2:$A$42,0))</f>
        <v>9.0700000000000004E-4</v>
      </c>
      <c r="J32" s="99">
        <v>0</v>
      </c>
      <c r="K32" s="100">
        <f t="shared" si="0"/>
        <v>4.1919999999999995E-3</v>
      </c>
      <c r="L32" s="104"/>
      <c r="M32" s="102">
        <f t="shared" si="1"/>
        <v>4.1849999999999995E-3</v>
      </c>
      <c r="N32" s="105"/>
      <c r="O32" s="100">
        <f t="shared" si="2"/>
        <v>3.2389999999999997E-3</v>
      </c>
      <c r="P32" s="101"/>
      <c r="Q32" s="105"/>
      <c r="R32" s="105"/>
      <c r="S32" s="105"/>
      <c r="T32" s="105"/>
      <c r="U32" s="105"/>
      <c r="V32" s="103"/>
    </row>
    <row r="33" spans="1:22">
      <c r="A33" s="96">
        <v>24</v>
      </c>
      <c r="B33" s="97" t="s">
        <v>66</v>
      </c>
      <c r="C33" s="98">
        <f>INDEX([1]AVTRP24!$H$4:$H$44,MATCH(A33,[1]AVTRP24!$A$4:$A$44,0))</f>
        <v>2712521188</v>
      </c>
      <c r="D33" s="99">
        <f>INDEX([2]Summary!$C$2:$C$42,MATCH($A33,[2]Summary!$A$2:$A$42,0))</f>
        <v>1.4059999999999999E-3</v>
      </c>
      <c r="E33" s="99">
        <f>INDEX([2]Summary!$M$2:$M$42,MATCH($A33,[2]Summary!$A$2:$A$42,0))</f>
        <v>6.8499999999999995E-4</v>
      </c>
      <c r="F33" s="99">
        <f>INDEX([2]Summary!$J$2:$J$42,MATCH($A33,[2]Summary!$A$2:$A$42,0))</f>
        <v>1.9999999999999999E-6</v>
      </c>
      <c r="G33" s="99">
        <f>INDEX([2]Summary!$E$2:$E$42,MATCH($A33,[2]Summary!$A$2:$A$42,0))</f>
        <v>1.0900000000000001E-4</v>
      </c>
      <c r="H33" s="99">
        <f>INDEX([2]Summary!$F$2:$F$42,MATCH($A33,[2]Summary!$A$2:$A$42,0))</f>
        <v>6.5399999999999996E-4</v>
      </c>
      <c r="I33" s="99">
        <f>INDEX([2]Summary!$D$2:$D$42,MATCH($A33,[2]Summary!$A$2:$A$42,0))</f>
        <v>2.8200000000000002E-4</v>
      </c>
      <c r="J33" s="99">
        <v>0</v>
      </c>
      <c r="K33" s="100">
        <f t="shared" si="0"/>
        <v>3.1380000000000002E-3</v>
      </c>
      <c r="L33" s="104"/>
      <c r="M33" s="102">
        <f t="shared" si="1"/>
        <v>3.1360000000000003E-3</v>
      </c>
      <c r="N33" s="105"/>
      <c r="O33" s="100">
        <f t="shared" si="2"/>
        <v>2.745E-3</v>
      </c>
      <c r="P33" s="101"/>
      <c r="Q33" s="105"/>
      <c r="R33" s="105"/>
      <c r="S33" s="105"/>
      <c r="T33" s="105"/>
      <c r="U33" s="105"/>
      <c r="V33" s="103"/>
    </row>
    <row r="34" spans="1:22">
      <c r="A34" s="96">
        <v>25</v>
      </c>
      <c r="B34" s="97" t="s">
        <v>67</v>
      </c>
      <c r="C34" s="98">
        <f>INDEX([1]AVTRP24!$H$4:$H$44,MATCH(A34,[1]AVTRP24!$A$4:$A$44,0))</f>
        <v>962965240</v>
      </c>
      <c r="D34" s="99">
        <f>INDEX([2]Summary!$C$2:$C$42,MATCH($A34,[2]Summary!$A$2:$A$42,0))</f>
        <v>1.4059999999999999E-3</v>
      </c>
      <c r="E34" s="99">
        <f>INDEX([2]Summary!$M$2:$M$42,MATCH($A34,[2]Summary!$A$2:$A$42,0))</f>
        <v>7.76E-4</v>
      </c>
      <c r="F34" s="99">
        <f>INDEX([2]Summary!$J$2:$J$42,MATCH($A34,[2]Summary!$A$2:$A$42,0))</f>
        <v>6.0000000000000002E-6</v>
      </c>
      <c r="G34" s="99">
        <f>INDEX([2]Summary!$E$2:$E$42,MATCH($A34,[2]Summary!$A$2:$A$42,0))</f>
        <v>3.0000000000000001E-3</v>
      </c>
      <c r="H34" s="99">
        <f>INDEX([2]Summary!$F$2:$F$42,MATCH($A34,[2]Summary!$A$2:$A$42,0))</f>
        <v>1.6000000000000001E-3</v>
      </c>
      <c r="I34" s="99">
        <f>INDEX([2]Summary!$D$2:$D$42,MATCH($A34,[2]Summary!$A$2:$A$42,0))</f>
        <v>0</v>
      </c>
      <c r="J34" s="99">
        <v>0</v>
      </c>
      <c r="K34" s="100">
        <f t="shared" si="0"/>
        <v>6.7879999999999998E-3</v>
      </c>
      <c r="L34" s="104"/>
      <c r="M34" s="102">
        <f t="shared" si="1"/>
        <v>6.7819999999999998E-3</v>
      </c>
      <c r="N34" s="105"/>
      <c r="O34" s="100">
        <f t="shared" si="2"/>
        <v>3.7819999999999998E-3</v>
      </c>
      <c r="P34" s="101"/>
      <c r="Q34" s="105"/>
      <c r="R34" s="105"/>
      <c r="S34" s="105"/>
      <c r="T34" s="105"/>
      <c r="U34" s="105"/>
      <c r="V34" s="103"/>
    </row>
    <row r="35" spans="1:22">
      <c r="A35" s="96">
        <v>26</v>
      </c>
      <c r="B35" s="97" t="s">
        <v>124</v>
      </c>
      <c r="C35" s="98">
        <f>INDEX([1]AVTRP24!$H$4:$H$44,MATCH(A35,[1]AVTRP24!$A$4:$A$44,0))</f>
        <v>2738820244</v>
      </c>
      <c r="D35" s="99">
        <f>INDEX([2]Summary!$C$2:$C$42,MATCH($A35,[2]Summary!$A$2:$A$42,0))</f>
        <v>1.4059999999999999E-3</v>
      </c>
      <c r="E35" s="99">
        <f>INDEX([2]Summary!$M$2:$M$42,MATCH($A35,[2]Summary!$A$2:$A$42,0))</f>
        <v>1.109E-3</v>
      </c>
      <c r="F35" s="99">
        <f>INDEX([2]Summary!$J$2:$J$42,MATCH($A35,[2]Summary!$A$2:$A$42,0))</f>
        <v>1.2999999999999999E-5</v>
      </c>
      <c r="G35" s="99">
        <f>INDEX([2]Summary!$E$2:$E$42,MATCH($A35,[2]Summary!$A$2:$A$42,0))</f>
        <v>7.7499999999999997E-4</v>
      </c>
      <c r="H35" s="99">
        <f>INDEX([2]Summary!$F$2:$F$42,MATCH($A35,[2]Summary!$A$2:$A$42,0))</f>
        <v>8.61E-4</v>
      </c>
      <c r="I35" s="99">
        <f>INDEX([2]Summary!$D$2:$D$42,MATCH($A35,[2]Summary!$A$2:$A$42,0))</f>
        <v>1.2210000000000001E-3</v>
      </c>
      <c r="J35" s="99">
        <v>0</v>
      </c>
      <c r="K35" s="100">
        <f t="shared" si="0"/>
        <v>5.385E-3</v>
      </c>
      <c r="L35" s="104"/>
      <c r="M35" s="102">
        <f t="shared" si="1"/>
        <v>5.372E-3</v>
      </c>
      <c r="N35" s="105"/>
      <c r="O35" s="100">
        <f t="shared" si="2"/>
        <v>3.3759999999999997E-3</v>
      </c>
      <c r="P35" s="101"/>
      <c r="Q35" s="105"/>
      <c r="R35" s="105"/>
      <c r="S35" s="105"/>
      <c r="T35" s="105"/>
      <c r="U35" s="105"/>
      <c r="V35" s="103"/>
    </row>
    <row r="36" spans="1:22">
      <c r="A36" s="96">
        <v>27</v>
      </c>
      <c r="B36" s="97" t="s">
        <v>69</v>
      </c>
      <c r="C36" s="98">
        <f>INDEX([1]AVTRP24!$H$4:$H$44,MATCH(A36,[1]AVTRP24!$A$4:$A$44,0))</f>
        <v>1149944697</v>
      </c>
      <c r="D36" s="99">
        <f>INDEX([2]Summary!$C$2:$C$42,MATCH($A36,[2]Summary!$A$2:$A$42,0))</f>
        <v>1.4059999999999999E-3</v>
      </c>
      <c r="E36" s="99">
        <f>INDEX([2]Summary!$M$2:$M$42,MATCH($A36,[2]Summary!$A$2:$A$42,0))</f>
        <v>1.0640000000000001E-3</v>
      </c>
      <c r="F36" s="99">
        <f>INDEX([2]Summary!$J$2:$J$42,MATCH($A36,[2]Summary!$A$2:$A$42,0))</f>
        <v>1.8E-5</v>
      </c>
      <c r="G36" s="99">
        <f>INDEX([2]Summary!$E$2:$E$42,MATCH($A36,[2]Summary!$A$2:$A$42,0))</f>
        <v>1.7420000000000001E-3</v>
      </c>
      <c r="H36" s="99">
        <f>INDEX([2]Summary!$F$2:$F$42,MATCH($A36,[2]Summary!$A$2:$A$42,0))</f>
        <v>1.1689999999999999E-3</v>
      </c>
      <c r="I36" s="99">
        <f>INDEX([2]Summary!$D$2:$D$42,MATCH($A36,[2]Summary!$A$2:$A$42,0))</f>
        <v>1.9289999999999999E-3</v>
      </c>
      <c r="J36" s="99">
        <v>0</v>
      </c>
      <c r="K36" s="100">
        <f t="shared" si="0"/>
        <v>7.3279999999999994E-3</v>
      </c>
      <c r="L36" s="104"/>
      <c r="M36" s="102">
        <f t="shared" si="1"/>
        <v>7.3099999999999997E-3</v>
      </c>
      <c r="N36" s="105"/>
      <c r="O36" s="100">
        <f t="shared" si="2"/>
        <v>3.6389999999999999E-3</v>
      </c>
      <c r="P36" s="101"/>
      <c r="Q36" s="105"/>
      <c r="R36" s="105"/>
      <c r="S36" s="105"/>
      <c r="T36" s="105"/>
      <c r="U36" s="105"/>
      <c r="V36" s="103"/>
    </row>
    <row r="37" spans="1:22">
      <c r="A37" s="96">
        <v>28</v>
      </c>
      <c r="B37" s="97" t="s">
        <v>70</v>
      </c>
      <c r="C37" s="98">
        <f>INDEX([1]AVTRP24!$H$4:$H$44,MATCH(A37,[1]AVTRP24!$A$4:$A$44,0))</f>
        <v>6104128778</v>
      </c>
      <c r="D37" s="99">
        <f>INDEX([2]Summary!$C$2:$C$42,MATCH($A37,[2]Summary!$A$2:$A$42,0))</f>
        <v>1.4059999999999999E-3</v>
      </c>
      <c r="E37" s="99">
        <f>INDEX([2]Summary!$M$2:$M$42,MATCH($A37,[2]Summary!$A$2:$A$42,0))</f>
        <v>1.1000000000000001E-3</v>
      </c>
      <c r="F37" s="99">
        <f>INDEX([2]Summary!$J$2:$J$42,MATCH($A37,[2]Summary!$A$2:$A$42,0))</f>
        <v>2.0000000000000002E-5</v>
      </c>
      <c r="G37" s="99">
        <f>INDEX([2]Summary!$E$2:$E$42,MATCH($A37,[2]Summary!$A$2:$A$42,0))</f>
        <v>7.2099999999999996E-4</v>
      </c>
      <c r="H37" s="99">
        <f>INDEX([2]Summary!$F$2:$F$42,MATCH($A37,[2]Summary!$A$2:$A$42,0))</f>
        <v>5.0900000000000001E-4</v>
      </c>
      <c r="I37" s="99">
        <f>INDEX([2]Summary!$D$2:$D$42,MATCH($A37,[2]Summary!$A$2:$A$42,0))</f>
        <v>0</v>
      </c>
      <c r="J37" s="99">
        <v>0</v>
      </c>
      <c r="K37" s="100">
        <f t="shared" si="0"/>
        <v>3.7559999999999998E-3</v>
      </c>
      <c r="L37" s="104"/>
      <c r="M37" s="102">
        <f t="shared" si="1"/>
        <v>3.7359999999999997E-3</v>
      </c>
      <c r="N37" s="105"/>
      <c r="O37" s="100">
        <f t="shared" si="2"/>
        <v>3.0149999999999999E-3</v>
      </c>
      <c r="P37" s="101"/>
      <c r="Q37" s="105"/>
      <c r="R37" s="105"/>
      <c r="S37" s="105"/>
      <c r="T37" s="105"/>
      <c r="U37" s="105"/>
      <c r="V37" s="103"/>
    </row>
    <row r="38" spans="1:22">
      <c r="A38" s="96">
        <v>29</v>
      </c>
      <c r="B38" s="97" t="s">
        <v>71</v>
      </c>
      <c r="C38" s="98">
        <f>INDEX([1]AVTRP24!$H$4:$H$44,MATCH(A38,[1]AVTRP24!$A$4:$A$44,0))</f>
        <v>118386409</v>
      </c>
      <c r="D38" s="99">
        <f>INDEX([2]Summary!$C$2:$C$42,MATCH($A38,[2]Summary!$A$2:$A$42,0))</f>
        <v>1.4059999999999999E-3</v>
      </c>
      <c r="E38" s="99">
        <f>INDEX([2]Summary!$M$2:$M$42,MATCH($A38,[2]Summary!$A$2:$A$42,0))</f>
        <v>1.0189999999999999E-3</v>
      </c>
      <c r="F38" s="99">
        <f>INDEX([2]Summary!$J$2:$J$42,MATCH($A38,[2]Summary!$A$2:$A$42,0))</f>
        <v>1.9999999999999999E-6</v>
      </c>
      <c r="G38" s="99">
        <f>INDEX([2]Summary!$E$2:$E$42,MATCH($A38,[2]Summary!$A$2:$A$42,0))</f>
        <v>1.1230000000000001E-3</v>
      </c>
      <c r="H38" s="99">
        <f>INDEX([2]Summary!$F$2:$F$42,MATCH($A38,[2]Summary!$A$2:$A$42,0))</f>
        <v>1.7129999999999999E-3</v>
      </c>
      <c r="I38" s="99">
        <f>INDEX([2]Summary!$D$2:$D$42,MATCH($A38,[2]Summary!$A$2:$A$42,0))</f>
        <v>8.9700000000000001E-4</v>
      </c>
      <c r="J38" s="99">
        <v>0</v>
      </c>
      <c r="K38" s="100">
        <f t="shared" si="0"/>
        <v>6.1600000000000005E-3</v>
      </c>
      <c r="L38" s="104"/>
      <c r="M38" s="102">
        <f t="shared" si="1"/>
        <v>6.1580000000000003E-3</v>
      </c>
      <c r="N38" s="105"/>
      <c r="O38" s="100">
        <f t="shared" si="2"/>
        <v>4.1380000000000002E-3</v>
      </c>
      <c r="P38" s="101"/>
      <c r="Q38" s="105"/>
      <c r="R38" s="105"/>
      <c r="S38" s="105"/>
      <c r="T38" s="105"/>
      <c r="U38" s="105"/>
      <c r="V38" s="103"/>
    </row>
    <row r="39" spans="1:22">
      <c r="A39" s="96">
        <v>30</v>
      </c>
      <c r="B39" s="97" t="s">
        <v>72</v>
      </c>
      <c r="C39" s="98">
        <f>INDEX([1]AVTRP24!$H$4:$H$44,MATCH(A39,[1]AVTRP24!$A$4:$A$44,0))</f>
        <v>9857052106</v>
      </c>
      <c r="D39" s="99">
        <f>INDEX([2]Summary!$C$2:$C$42,MATCH($A39,[2]Summary!$A$2:$A$42,0))</f>
        <v>1.4059999999999999E-3</v>
      </c>
      <c r="E39" s="99">
        <f>INDEX([2]Summary!$M$2:$M$42,MATCH($A39,[2]Summary!$A$2:$A$42,0))</f>
        <v>1.0759999999999999E-3</v>
      </c>
      <c r="F39" s="99">
        <f>INDEX([2]Summary!$J$2:$J$42,MATCH($A39,[2]Summary!$A$2:$A$42,0))</f>
        <v>7.4999999999999993E-5</v>
      </c>
      <c r="G39" s="99">
        <f>INDEX([2]Summary!$E$2:$E$42,MATCH($A39,[2]Summary!$A$2:$A$42,0))</f>
        <v>1.263E-3</v>
      </c>
      <c r="H39" s="99">
        <f>INDEX([2]Summary!$F$2:$F$42,MATCH($A39,[2]Summary!$A$2:$A$42,0))</f>
        <v>1.3290000000000001E-3</v>
      </c>
      <c r="I39" s="99">
        <f>INDEX([2]Summary!$D$2:$D$42,MATCH($A39,[2]Summary!$A$2:$A$42,0))</f>
        <v>1.8929999999999999E-3</v>
      </c>
      <c r="J39" s="99">
        <v>0</v>
      </c>
      <c r="K39" s="100">
        <f t="shared" si="0"/>
        <v>7.0419999999999996E-3</v>
      </c>
      <c r="L39" s="104"/>
      <c r="M39" s="102">
        <f t="shared" si="1"/>
        <v>6.9669999999999992E-3</v>
      </c>
      <c r="N39" s="105"/>
      <c r="O39" s="100">
        <f t="shared" si="2"/>
        <v>3.8110000000000002E-3</v>
      </c>
      <c r="P39" s="101"/>
      <c r="Q39" s="105"/>
      <c r="R39" s="105"/>
      <c r="S39" s="105"/>
      <c r="T39" s="105"/>
      <c r="U39" s="105"/>
      <c r="V39" s="103"/>
    </row>
    <row r="40" spans="1:22">
      <c r="A40" s="96">
        <v>31</v>
      </c>
      <c r="B40" s="97" t="s">
        <v>109</v>
      </c>
      <c r="C40" s="98">
        <f>INDEX([1]AVTRP24!$H$4:$H$44,MATCH(A40,[1]AVTRP24!$A$4:$A$44,0))</f>
        <v>5362255577</v>
      </c>
      <c r="D40" s="99">
        <f>INDEX([2]Summary!$C$2:$C$42,MATCH($A40,[2]Summary!$A$2:$A$42,0))</f>
        <v>1.4059999999999999E-3</v>
      </c>
      <c r="E40" s="99">
        <f>INDEX([2]Summary!$M$2:$M$42,MATCH($A40,[2]Summary!$A$2:$A$42,0))</f>
        <v>2.1870000000000001E-3</v>
      </c>
      <c r="F40" s="99">
        <f>INDEX([2]Summary!$J$2:$J$42,MATCH($A40,[2]Summary!$A$2:$A$42,0))</f>
        <v>9.6000000000000002E-5</v>
      </c>
      <c r="G40" s="99">
        <f>INDEX([2]Summary!$E$2:$E$42,MATCH($A40,[2]Summary!$A$2:$A$42,0))</f>
        <v>1.439E-3</v>
      </c>
      <c r="H40" s="99">
        <f>INDEX([2]Summary!$F$2:$F$42,MATCH($A40,[2]Summary!$A$2:$A$42,0))</f>
        <v>0</v>
      </c>
      <c r="I40" s="99">
        <f>INDEX([2]Summary!$D$2:$D$42,MATCH($A40,[2]Summary!$A$2:$A$42,0))</f>
        <v>6.0499999999999996E-4</v>
      </c>
      <c r="J40" s="99">
        <v>0</v>
      </c>
      <c r="K40" s="100">
        <f t="shared" si="0"/>
        <v>5.7329999999999994E-3</v>
      </c>
      <c r="L40" s="104"/>
      <c r="M40" s="102">
        <f t="shared" si="1"/>
        <v>5.6369999999999996E-3</v>
      </c>
      <c r="N40" s="105"/>
      <c r="O40" s="100">
        <f t="shared" si="2"/>
        <v>3.5929999999999998E-3</v>
      </c>
      <c r="P40" s="101"/>
      <c r="Q40" s="105"/>
      <c r="R40" s="105"/>
      <c r="S40" s="105"/>
      <c r="T40" s="105"/>
      <c r="U40" s="105"/>
      <c r="V40" s="103"/>
    </row>
    <row r="41" spans="1:22">
      <c r="A41" s="96">
        <v>32</v>
      </c>
      <c r="B41" s="97" t="s">
        <v>73</v>
      </c>
      <c r="C41" s="98">
        <f>INDEX([1]AVTRP24!$H$4:$H$44,MATCH(A41,[1]AVTRP24!$A$4:$A$44,0))</f>
        <v>16255399103</v>
      </c>
      <c r="D41" s="99">
        <f>INDEX([2]Summary!$C$2:$C$42,MATCH($A41,[2]Summary!$A$2:$A$42,0))</f>
        <v>1.4059999999999999E-3</v>
      </c>
      <c r="E41" s="99">
        <f>INDEX([2]Summary!$M$2:$M$42,MATCH($A41,[2]Summary!$A$2:$A$42,0))</f>
        <v>1.555E-3</v>
      </c>
      <c r="F41" s="99">
        <f>INDEX([2]Summary!$J$2:$J$42,MATCH($A41,[2]Summary!$A$2:$A$42,0))</f>
        <v>3.4E-5</v>
      </c>
      <c r="G41" s="99">
        <f>INDEX([2]Summary!$E$2:$E$42,MATCH($A41,[2]Summary!$A$2:$A$42,0))</f>
        <v>1.9369999999999999E-3</v>
      </c>
      <c r="H41" s="99">
        <f>INDEX([2]Summary!$F$2:$F$42,MATCH($A41,[2]Summary!$A$2:$A$42,0))</f>
        <v>1.2080000000000001E-3</v>
      </c>
      <c r="I41" s="99">
        <f>INDEX([2]Summary!$D$2:$D$42,MATCH($A41,[2]Summary!$A$2:$A$42,0))</f>
        <v>2.5099999999999998E-4</v>
      </c>
      <c r="J41" s="99">
        <v>0</v>
      </c>
      <c r="K41" s="100">
        <f t="shared" si="0"/>
        <v>6.3910000000000008E-3</v>
      </c>
      <c r="L41" s="104"/>
      <c r="M41" s="102">
        <f t="shared" si="1"/>
        <v>6.3570000000000007E-3</v>
      </c>
      <c r="N41" s="105"/>
      <c r="O41" s="100">
        <f t="shared" si="2"/>
        <v>4.169E-3</v>
      </c>
      <c r="P41" s="101"/>
      <c r="Q41" s="105"/>
      <c r="R41" s="105"/>
      <c r="S41" s="105"/>
      <c r="T41" s="105"/>
      <c r="U41" s="105"/>
      <c r="V41" s="103"/>
    </row>
    <row r="42" spans="1:22">
      <c r="A42" s="96">
        <v>33</v>
      </c>
      <c r="B42" s="97" t="s">
        <v>74</v>
      </c>
      <c r="C42" s="98">
        <f>INDEX([1]AVTRP24!$H$4:$H$44,MATCH(A42,[1]AVTRP24!$A$4:$A$44,0))</f>
        <v>37944469041</v>
      </c>
      <c r="D42" s="99">
        <f>INDEX([2]Summary!$C$2:$C$42,MATCH($A42,[2]Summary!$A$2:$A$42,0))</f>
        <v>1.4059999999999999E-3</v>
      </c>
      <c r="E42" s="99">
        <f>INDEX([2]Summary!$M$2:$M$42,MATCH($A42,[2]Summary!$A$2:$A$42,0))</f>
        <v>2.8800000000000001E-4</v>
      </c>
      <c r="F42" s="99">
        <f>INDEX([2]Summary!$J$2:$J$42,MATCH($A42,[2]Summary!$A$2:$A$42,0))</f>
        <v>3.4E-5</v>
      </c>
      <c r="G42" s="99">
        <f>INDEX([2]Summary!$E$2:$E$42,MATCH($A42,[2]Summary!$A$2:$A$42,0))</f>
        <v>1.9480000000000001E-3</v>
      </c>
      <c r="H42" s="99">
        <f>INDEX([2]Summary!$F$2:$F$42,MATCH($A42,[2]Summary!$A$2:$A$42,0))</f>
        <v>1.072E-3</v>
      </c>
      <c r="I42" s="99">
        <f>INDEX([2]Summary!$D$2:$D$42,MATCH($A42,[2]Summary!$A$2:$A$42,0))</f>
        <v>0</v>
      </c>
      <c r="J42" s="99">
        <v>0</v>
      </c>
      <c r="K42" s="100">
        <f t="shared" si="0"/>
        <v>4.7480000000000005E-3</v>
      </c>
      <c r="L42" s="104"/>
      <c r="M42" s="102">
        <f t="shared" si="1"/>
        <v>4.7140000000000003E-3</v>
      </c>
      <c r="N42" s="105"/>
      <c r="O42" s="100">
        <f t="shared" si="2"/>
        <v>2.7660000000000002E-3</v>
      </c>
      <c r="P42" s="101"/>
      <c r="Q42" s="105"/>
      <c r="R42" s="105"/>
      <c r="S42" s="105"/>
      <c r="T42" s="105"/>
      <c r="U42" s="105"/>
      <c r="V42" s="103"/>
    </row>
    <row r="43" spans="1:22">
      <c r="A43" s="96">
        <v>34</v>
      </c>
      <c r="B43" s="97" t="s">
        <v>75</v>
      </c>
      <c r="C43" s="98">
        <f>INDEX([1]AVTRP24!$H$4:$H$44,MATCH(A43,[1]AVTRP24!$A$4:$A$44,0))</f>
        <v>630476289</v>
      </c>
      <c r="D43" s="99">
        <f>INDEX([2]Summary!$C$2:$C$42,MATCH($A43,[2]Summary!$A$2:$A$42,0))</f>
        <v>1.4059999999999999E-3</v>
      </c>
      <c r="E43" s="99">
        <f>INDEX([2]Summary!$M$2:$M$42,MATCH($A43,[2]Summary!$A$2:$A$42,0))</f>
        <v>3.2400000000000001E-4</v>
      </c>
      <c r="F43" s="99">
        <f>INDEX([2]Summary!$J$2:$J$42,MATCH($A43,[2]Summary!$A$2:$A$42,0))</f>
        <v>7.9999999999999996E-6</v>
      </c>
      <c r="G43" s="99">
        <f>INDEX([2]Summary!$E$2:$E$42,MATCH($A43,[2]Summary!$A$2:$A$42,0))</f>
        <v>2.2499999999999998E-3</v>
      </c>
      <c r="H43" s="99">
        <f>INDEX([2]Summary!$F$2:$F$42,MATCH($A43,[2]Summary!$A$2:$A$42,0))</f>
        <v>7.6900000000000004E-4</v>
      </c>
      <c r="I43" s="99">
        <f>INDEX([2]Summary!$D$2:$D$42,MATCH($A43,[2]Summary!$A$2:$A$42,0))</f>
        <v>0</v>
      </c>
      <c r="J43" s="99">
        <v>0</v>
      </c>
      <c r="K43" s="100">
        <f t="shared" si="0"/>
        <v>4.7569999999999999E-3</v>
      </c>
      <c r="L43" s="104"/>
      <c r="M43" s="102">
        <f t="shared" si="1"/>
        <v>4.7489999999999997E-3</v>
      </c>
      <c r="N43" s="105"/>
      <c r="O43" s="100">
        <f t="shared" si="2"/>
        <v>2.4989999999999999E-3</v>
      </c>
      <c r="P43" s="101"/>
      <c r="Q43" s="105"/>
      <c r="R43" s="105"/>
      <c r="S43" s="105"/>
      <c r="T43" s="105"/>
      <c r="U43" s="105"/>
      <c r="V43" s="103"/>
    </row>
    <row r="44" spans="1:22">
      <c r="A44" s="96">
        <v>35</v>
      </c>
      <c r="B44" s="97" t="s">
        <v>76</v>
      </c>
      <c r="C44" s="98">
        <f>INDEX([1]AVTRP24!$H$4:$H$44,MATCH(A44,[1]AVTRP24!$A$4:$A$44,0))</f>
        <v>22771752892</v>
      </c>
      <c r="D44" s="99">
        <f>INDEX([2]Summary!$C$2:$C$42,MATCH($A44,[2]Summary!$A$2:$A$42,0))</f>
        <v>1.4059999999999999E-3</v>
      </c>
      <c r="E44" s="99">
        <f>INDEX([2]Summary!$M$2:$M$42,MATCH($A44,[2]Summary!$A$2:$A$42,0))</f>
        <v>6.7699999999999998E-4</v>
      </c>
      <c r="F44" s="99">
        <f>INDEX([2]Summary!$J$2:$J$42,MATCH($A44,[2]Summary!$A$2:$A$42,0))</f>
        <v>4.8999999999999998E-5</v>
      </c>
      <c r="G44" s="99">
        <f>INDEX([2]Summary!$E$2:$E$42,MATCH($A44,[2]Summary!$A$2:$A$42,0))</f>
        <v>1.5200000000000001E-3</v>
      </c>
      <c r="H44" s="99">
        <f>INDEX([2]Summary!$F$2:$F$42,MATCH($A44,[2]Summary!$A$2:$A$42,0))</f>
        <v>7.6599999999999997E-4</v>
      </c>
      <c r="I44" s="99">
        <f>INDEX([2]Summary!$D$2:$D$42,MATCH($A44,[2]Summary!$A$2:$A$42,0))</f>
        <v>1.1460000000000001E-3</v>
      </c>
      <c r="J44" s="99">
        <v>0</v>
      </c>
      <c r="K44" s="100">
        <f t="shared" si="0"/>
        <v>5.5640000000000004E-3</v>
      </c>
      <c r="L44" s="104"/>
      <c r="M44" s="102">
        <f t="shared" si="1"/>
        <v>5.5150000000000008E-3</v>
      </c>
      <c r="N44" s="105"/>
      <c r="O44" s="100">
        <f t="shared" si="2"/>
        <v>2.849E-3</v>
      </c>
      <c r="P44" s="101"/>
      <c r="Q44" s="105"/>
      <c r="R44" s="105"/>
      <c r="S44" s="105"/>
      <c r="T44" s="105"/>
      <c r="U44" s="105"/>
      <c r="V44" s="103"/>
    </row>
    <row r="45" spans="1:22">
      <c r="A45" s="96">
        <v>36</v>
      </c>
      <c r="B45" s="97" t="s">
        <v>77</v>
      </c>
      <c r="C45" s="98">
        <f>INDEX([1]AVTRP24!$H$4:$H$44,MATCH(A45,[1]AVTRP24!$A$4:$A$44,0))</f>
        <v>41887944337</v>
      </c>
      <c r="D45" s="99">
        <f>INDEX([2]Summary!$C$2:$C$42,MATCH($A45,[2]Summary!$A$2:$A$42,0))</f>
        <v>1.4059999999999999E-3</v>
      </c>
      <c r="E45" s="99">
        <f>INDEX([2]Summary!$M$2:$M$42,MATCH($A45,[2]Summary!$A$2:$A$42,0))</f>
        <v>1.3209999999999999E-3</v>
      </c>
      <c r="F45" s="99">
        <f>INDEX([2]Summary!$J$2:$J$42,MATCH($A45,[2]Summary!$A$2:$A$42,0))</f>
        <v>7.6000000000000004E-5</v>
      </c>
      <c r="G45" s="99">
        <f>INDEX([2]Summary!$E$2:$E$42,MATCH($A45,[2]Summary!$A$2:$A$42,0))</f>
        <v>5.9900000000000003E-4</v>
      </c>
      <c r="H45" s="99">
        <f>INDEX([2]Summary!$F$2:$F$42,MATCH($A45,[2]Summary!$A$2:$A$42,0))</f>
        <v>5.0799999999999999E-4</v>
      </c>
      <c r="I45" s="99">
        <f>INDEX([2]Summary!$D$2:$D$42,MATCH($A45,[2]Summary!$A$2:$A$42,0))</f>
        <v>5.3999999999999998E-5</v>
      </c>
      <c r="J45" s="99">
        <v>0</v>
      </c>
      <c r="K45" s="100">
        <f t="shared" si="0"/>
        <v>3.9640000000000005E-3</v>
      </c>
      <c r="L45" s="104"/>
      <c r="M45" s="102">
        <f t="shared" si="1"/>
        <v>3.8880000000000004E-3</v>
      </c>
      <c r="N45" s="105"/>
      <c r="O45" s="100">
        <f t="shared" si="2"/>
        <v>3.235E-3</v>
      </c>
      <c r="P45" s="101"/>
      <c r="Q45" s="105"/>
      <c r="R45" s="105"/>
      <c r="S45" s="105"/>
      <c r="T45" s="105"/>
      <c r="U45" s="105"/>
      <c r="V45" s="103"/>
    </row>
    <row r="46" spans="1:22">
      <c r="A46" s="96">
        <v>37</v>
      </c>
      <c r="B46" s="97" t="s">
        <v>78</v>
      </c>
      <c r="C46" s="98">
        <f>INDEX([1]AVTRP24!$H$4:$H$44,MATCH(A46,[1]AVTRP24!$A$4:$A$44,0))</f>
        <v>9123111003</v>
      </c>
      <c r="D46" s="99">
        <f>INDEX([2]Summary!$C$2:$C$42,MATCH($A46,[2]Summary!$A$2:$A$42,0))</f>
        <v>1.4059999999999999E-3</v>
      </c>
      <c r="E46" s="99">
        <f>INDEX([2]Summary!$M$2:$M$42,MATCH($A46,[2]Summary!$A$2:$A$42,0))</f>
        <v>1.25E-3</v>
      </c>
      <c r="F46" s="99">
        <f>INDEX([2]Summary!$J$2:$J$42,MATCH($A46,[2]Summary!$A$2:$A$42,0))</f>
        <v>1.4300000000000001E-4</v>
      </c>
      <c r="G46" s="99">
        <f>INDEX([2]Summary!$E$2:$E$42,MATCH($A46,[2]Summary!$A$2:$A$42,0))</f>
        <v>1.325E-3</v>
      </c>
      <c r="H46" s="99">
        <f>INDEX([2]Summary!$F$2:$F$42,MATCH($A46,[2]Summary!$A$2:$A$42,0))</f>
        <v>1.4660000000000001E-3</v>
      </c>
      <c r="I46" s="99">
        <f>INDEX([2]Summary!$D$2:$D$42,MATCH($A46,[2]Summary!$A$2:$A$42,0))</f>
        <v>1.4250000000000001E-3</v>
      </c>
      <c r="J46" s="99">
        <v>0</v>
      </c>
      <c r="K46" s="100">
        <f t="shared" si="0"/>
        <v>7.0150000000000004E-3</v>
      </c>
      <c r="L46" s="104"/>
      <c r="M46" s="102">
        <f t="shared" si="1"/>
        <v>6.8720000000000005E-3</v>
      </c>
      <c r="N46" s="105"/>
      <c r="O46" s="100">
        <f t="shared" si="2"/>
        <v>4.1219999999999998E-3</v>
      </c>
      <c r="P46" s="101"/>
      <c r="Q46" s="105"/>
      <c r="R46" s="105"/>
      <c r="S46" s="105"/>
      <c r="T46" s="105"/>
      <c r="U46" s="105"/>
      <c r="V46" s="103"/>
    </row>
    <row r="47" spans="1:22">
      <c r="A47" s="96">
        <v>38</v>
      </c>
      <c r="B47" s="97" t="s">
        <v>79</v>
      </c>
      <c r="C47" s="98">
        <f>INDEX([1]AVTRP24!$H$4:$H$44,MATCH(A47,[1]AVTRP24!$A$4:$A$44,0))</f>
        <v>10091931453</v>
      </c>
      <c r="D47" s="99">
        <f>INDEX([2]Summary!$C$2:$C$42,MATCH($A47,[2]Summary!$A$2:$A$42,0))</f>
        <v>1.4059999999999999E-3</v>
      </c>
      <c r="E47" s="99">
        <f>INDEX([2]Summary!$M$2:$M$42,MATCH($A47,[2]Summary!$A$2:$A$42,0))</f>
        <v>1.8309999999999999E-3</v>
      </c>
      <c r="F47" s="99">
        <f>INDEX([2]Summary!$J$2:$J$42,MATCH($A47,[2]Summary!$A$2:$A$42,0))</f>
        <v>9.7999999999999997E-5</v>
      </c>
      <c r="G47" s="99">
        <f>INDEX([2]Summary!$E$2:$E$42,MATCH($A47,[2]Summary!$A$2:$A$42,0))</f>
        <v>1.2290000000000001E-3</v>
      </c>
      <c r="H47" s="99">
        <f>INDEX([2]Summary!$F$2:$F$42,MATCH($A47,[2]Summary!$A$2:$A$42,0))</f>
        <v>1.2999999999999999E-3</v>
      </c>
      <c r="I47" s="99">
        <f>INDEX([2]Summary!$D$2:$D$42,MATCH($A47,[2]Summary!$A$2:$A$42,0))</f>
        <v>1.469E-3</v>
      </c>
      <c r="J47" s="99">
        <v>0</v>
      </c>
      <c r="K47" s="100">
        <f t="shared" si="0"/>
        <v>7.3330000000000001E-3</v>
      </c>
      <c r="L47" s="104"/>
      <c r="M47" s="102">
        <f t="shared" si="1"/>
        <v>7.2350000000000001E-3</v>
      </c>
      <c r="N47" s="105"/>
      <c r="O47" s="100">
        <f t="shared" si="2"/>
        <v>4.5369999999999994E-3</v>
      </c>
      <c r="P47" s="101"/>
      <c r="Q47" s="105"/>
      <c r="R47" s="105"/>
      <c r="S47" s="105"/>
      <c r="T47" s="105"/>
      <c r="U47" s="105"/>
      <c r="V47" s="103"/>
    </row>
    <row r="48" spans="1:22">
      <c r="A48" s="96">
        <v>39</v>
      </c>
      <c r="B48" s="97" t="s">
        <v>80</v>
      </c>
      <c r="C48" s="98">
        <f>INDEX([1]AVTRP24!$H$4:$H$44,MATCH(A48,[1]AVTRP24!$A$4:$A$44,0))</f>
        <v>5073334772</v>
      </c>
      <c r="D48" s="99">
        <f>INDEX([2]Summary!$C$2:$C$42,MATCH($A48,[2]Summary!$A$2:$A$42,0))</f>
        <v>1.4059999999999999E-3</v>
      </c>
      <c r="E48" s="99">
        <f>INDEX([2]Summary!$M$2:$M$42,MATCH($A48,[2]Summary!$A$2:$A$42,0))</f>
        <v>1.34E-3</v>
      </c>
      <c r="F48" s="99">
        <f>INDEX([2]Summary!$J$2:$J$42,MATCH($A48,[2]Summary!$A$2:$A$42,0))</f>
        <v>1.3999999999999999E-4</v>
      </c>
      <c r="G48" s="99">
        <f>INDEX([2]Summary!$E$2:$E$42,MATCH($A48,[2]Summary!$A$2:$A$42,0))</f>
        <v>1.433E-3</v>
      </c>
      <c r="H48" s="99">
        <f>INDEX([2]Summary!$F$2:$F$42,MATCH($A48,[2]Summary!$A$2:$A$42,0))</f>
        <v>9.4799999999999995E-4</v>
      </c>
      <c r="I48" s="99">
        <f>INDEX([2]Summary!$D$2:$D$42,MATCH($A48,[2]Summary!$A$2:$A$42,0))</f>
        <v>6.8000000000000005E-4</v>
      </c>
      <c r="J48" s="99">
        <v>0</v>
      </c>
      <c r="K48" s="100">
        <f t="shared" si="0"/>
        <v>5.947E-3</v>
      </c>
      <c r="L48" s="104"/>
      <c r="M48" s="102">
        <f t="shared" si="1"/>
        <v>5.8069999999999997E-3</v>
      </c>
      <c r="N48" s="105"/>
      <c r="O48" s="100">
        <f t="shared" si="2"/>
        <v>3.6940000000000002E-3</v>
      </c>
      <c r="P48" s="101"/>
      <c r="Q48" s="105"/>
      <c r="R48" s="105"/>
      <c r="S48" s="105"/>
      <c r="T48" s="105"/>
      <c r="U48" s="105"/>
      <c r="V48" s="103"/>
    </row>
    <row r="49" spans="1:22">
      <c r="A49" s="96">
        <v>40</v>
      </c>
      <c r="B49" s="97" t="s">
        <v>81</v>
      </c>
      <c r="C49" s="98">
        <f>INDEX([1]AVTRP24!$H$4:$H$44,MATCH(A49,[1]AVTRP24!$A$4:$A$44,0))</f>
        <v>6255991530</v>
      </c>
      <c r="D49" s="99">
        <f>INDEX([2]Summary!$C$2:$C$42,MATCH($A49,[2]Summary!$A$2:$A$42,0))</f>
        <v>1.4059999999999999E-3</v>
      </c>
      <c r="E49" s="99">
        <f>INDEX([2]Summary!$M$2:$M$42,MATCH($A49,[2]Summary!$A$2:$A$42,0))</f>
        <v>1.049E-3</v>
      </c>
      <c r="F49" s="99">
        <f>INDEX([2]Summary!$J$2:$J$42,MATCH($A49,[2]Summary!$A$2:$A$42,0))</f>
        <v>4.3999999999999999E-5</v>
      </c>
      <c r="G49" s="99">
        <f>INDEX([2]Summary!$E$2:$E$42,MATCH($A49,[2]Summary!$A$2:$A$42,0))</f>
        <v>4.3399999999999998E-4</v>
      </c>
      <c r="H49" s="99">
        <f>INDEX([2]Summary!$F$2:$F$42,MATCH($A49,[2]Summary!$A$2:$A$42,0))</f>
        <v>1.2160000000000001E-3</v>
      </c>
      <c r="I49" s="99">
        <f>INDEX([2]Summary!$D$2:$D$42,MATCH($A49,[2]Summary!$A$2:$A$42,0))</f>
        <v>5.9299999999999999E-4</v>
      </c>
      <c r="J49" s="99">
        <v>0</v>
      </c>
      <c r="K49" s="100">
        <f t="shared" si="0"/>
        <v>4.7419999999999997E-3</v>
      </c>
      <c r="L49" s="104"/>
      <c r="M49" s="102">
        <f t="shared" si="1"/>
        <v>4.6979999999999999E-3</v>
      </c>
      <c r="N49" s="105"/>
      <c r="O49" s="100">
        <f t="shared" si="2"/>
        <v>3.6709999999999998E-3</v>
      </c>
      <c r="P49" s="101"/>
      <c r="Q49" s="105"/>
      <c r="R49" s="105"/>
      <c r="S49" s="105"/>
      <c r="T49" s="105"/>
      <c r="U49" s="105"/>
      <c r="V49" s="103"/>
    </row>
    <row r="50" spans="1:22">
      <c r="A50" s="96">
        <v>42</v>
      </c>
      <c r="B50" s="97" t="s">
        <v>112</v>
      </c>
      <c r="C50" s="98">
        <f>INDEX([1]AVTRP24!$H$4:$H$44,MATCH(A50,[1]AVTRP24!$A$4:$A$44,0))</f>
        <v>35246481997</v>
      </c>
      <c r="D50" s="99">
        <f>INDEX([2]Summary!$C$2:$C$42,MATCH($A50,[2]Summary!$A$2:$A$42,0))</f>
        <v>1.4059999999999999E-3</v>
      </c>
      <c r="E50" s="99">
        <f>INDEX([2]Summary!$M$2:$M$42,MATCH($A50,[2]Summary!$A$2:$A$42,0))</f>
        <v>1.119E-3</v>
      </c>
      <c r="F50" s="99">
        <f>INDEX([2]Summary!$J$2:$J$42,MATCH($A50,[2]Summary!$A$2:$A$42,0))</f>
        <v>6.7999999999999999E-5</v>
      </c>
      <c r="G50" s="99">
        <f>INDEX([2]Summary!$E$2:$E$42,MATCH($A50,[2]Summary!$A$2:$A$42,0))</f>
        <v>6.0400000000000004E-4</v>
      </c>
      <c r="H50" s="99">
        <f>INDEX([2]Summary!$F$2:$F$42,MATCH($A50,[2]Summary!$A$2:$A$42,0))</f>
        <v>1.1999999999999999E-3</v>
      </c>
      <c r="I50" s="99">
        <f>INDEX([2]Summary!$D$2:$D$42,MATCH($A50,[2]Summary!$A$2:$A$42,0))</f>
        <v>1.3079999999999999E-3</v>
      </c>
      <c r="J50" s="99">
        <v>0</v>
      </c>
      <c r="K50" s="100">
        <f t="shared" si="0"/>
        <v>5.705E-3</v>
      </c>
      <c r="L50" s="104"/>
      <c r="M50" s="102">
        <f t="shared" si="1"/>
        <v>5.6369999999999996E-3</v>
      </c>
      <c r="N50" s="105"/>
      <c r="O50" s="100">
        <f t="shared" si="2"/>
        <v>3.725E-3</v>
      </c>
      <c r="P50" s="101"/>
      <c r="Q50" s="105"/>
      <c r="R50" s="105"/>
      <c r="S50" s="105"/>
      <c r="T50" s="105"/>
      <c r="U50" s="105"/>
      <c r="V50" s="103"/>
    </row>
    <row r="51" spans="1:22">
      <c r="A51" s="107"/>
      <c r="B51" s="85" t="s">
        <v>84</v>
      </c>
      <c r="C51" s="108">
        <f>SUM(C10:C50)</f>
        <v>506503471991</v>
      </c>
      <c r="D51" s="99"/>
      <c r="E51" s="99"/>
      <c r="F51" s="99"/>
      <c r="G51" s="99"/>
      <c r="H51" s="99"/>
      <c r="I51" s="99"/>
      <c r="J51" s="99"/>
      <c r="K51" s="109"/>
      <c r="L51" s="101"/>
      <c r="M51" s="110"/>
      <c r="N51" s="101"/>
      <c r="O51" s="111"/>
      <c r="P51" s="101"/>
      <c r="Q51" s="101"/>
      <c r="R51" s="101"/>
      <c r="S51" s="101"/>
      <c r="T51" s="101"/>
      <c r="U51" s="101"/>
      <c r="V51" s="103"/>
    </row>
    <row r="52" spans="1:22" s="92" customFormat="1">
      <c r="A52" s="112"/>
      <c r="B52" s="97" t="s">
        <v>107</v>
      </c>
      <c r="C52" s="113"/>
      <c r="D52" s="114">
        <f>AVERAGE(D10:D50)</f>
        <v>1.405999999999999E-3</v>
      </c>
      <c r="E52" s="114">
        <f t="shared" ref="E52:K52" si="3">AVERAGE(E10:E50)</f>
        <v>1.2568292682926829E-3</v>
      </c>
      <c r="F52" s="114">
        <f t="shared" si="3"/>
        <v>4.6731707317073168E-5</v>
      </c>
      <c r="G52" s="114">
        <f t="shared" si="3"/>
        <v>1.1980243902439025E-3</v>
      </c>
      <c r="H52" s="114">
        <f t="shared" si="3"/>
        <v>9.3304878048780515E-4</v>
      </c>
      <c r="I52" s="114">
        <f t="shared" si="3"/>
        <v>8.5680487804878046E-4</v>
      </c>
      <c r="J52" s="114">
        <f t="shared" si="3"/>
        <v>0</v>
      </c>
      <c r="K52" s="114">
        <f t="shared" si="3"/>
        <v>5.6974390243902436E-3</v>
      </c>
      <c r="M52" s="115">
        <f>AVERAGE(M10:M51)</f>
        <v>5.6507073170731703E-3</v>
      </c>
    </row>
    <row r="53" spans="1:22" hidden="1">
      <c r="A53" s="80"/>
      <c r="B53" s="116" t="s">
        <v>152</v>
      </c>
      <c r="C53" s="101"/>
      <c r="D53" s="117"/>
      <c r="E53" s="118"/>
      <c r="F53" s="119"/>
      <c r="G53" s="119"/>
      <c r="H53" s="120"/>
      <c r="I53" s="119"/>
      <c r="J53" s="119"/>
      <c r="K53" s="121"/>
      <c r="M53" s="92"/>
    </row>
    <row r="54" spans="1:22" hidden="1">
      <c r="A54" s="80"/>
      <c r="B54" s="122" t="s">
        <v>153</v>
      </c>
      <c r="F54" s="123"/>
      <c r="G54" s="123"/>
      <c r="H54" s="124"/>
      <c r="I54" s="125"/>
      <c r="J54" s="119"/>
    </row>
    <row r="55" spans="1:22">
      <c r="A55" s="80"/>
      <c r="B55" s="116" t="s">
        <v>154</v>
      </c>
      <c r="F55" s="123"/>
      <c r="G55" s="123"/>
      <c r="H55" s="120"/>
      <c r="J55" s="119"/>
      <c r="M55" s="120"/>
    </row>
    <row r="56" spans="1:22">
      <c r="A56" s="80"/>
      <c r="B56" s="116" t="s">
        <v>155</v>
      </c>
      <c r="J56" s="119"/>
      <c r="M56" s="120"/>
    </row>
    <row r="57" spans="1:22">
      <c r="A57" s="80"/>
      <c r="B57" s="126" t="s">
        <v>108</v>
      </c>
      <c r="F57" s="123"/>
      <c r="G57" s="123"/>
      <c r="H57" s="127"/>
      <c r="J57" s="119"/>
      <c r="M57" s="120"/>
    </row>
  </sheetData>
  <mergeCells count="3">
    <mergeCell ref="B1:J1"/>
    <mergeCell ref="B2:J2"/>
    <mergeCell ref="B3:J3"/>
  </mergeCells>
  <printOptions horizontalCentered="1" verticalCentered="1" gridLinesSet="0"/>
  <pageMargins left="0.17" right="0.17" top="0.17" bottom="0.17" header="0.17" footer="0.17"/>
  <pageSetup scale="80" fitToWidth="0" pageOrder="overThenDown" orientation="landscape" r:id="rId1"/>
  <headerFooter alignWithMargins="0">
    <oddHeader>&amp;L&amp;"+,Bold Italic"&amp;8Status: Pre-Final&amp;R&amp;"Helv,Bold Italic"&amp;8Current as of: 30-Sept-2014</oddHeader>
    <oddFooter>&amp;L&amp;"+,Bold Italic"&amp;8Source: Rates: State Tax Commission and School Districts;  Est. Valuations: USOE.
Compiled by USOE; School Finance--Cathy Dudley&amp;C&amp;"+,Bold Italic"&amp;8Page &amp;P&amp;R&amp;"+,Bold Italic"&amp;8&amp;Z&amp;F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A84E3-7697-4438-AC8E-D7CC91DD22D1}">
  <dimension ref="A1:BY174"/>
  <sheetViews>
    <sheetView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:BY164"/>
    </sheetView>
  </sheetViews>
  <sheetFormatPr defaultColWidth="9.3046875" defaultRowHeight="12.9"/>
  <cols>
    <col min="1" max="1" width="6.69140625" style="130" bestFit="1" customWidth="1"/>
    <col min="2" max="2" width="9.3828125" style="130" bestFit="1" customWidth="1"/>
    <col min="3" max="3" width="39.84375" style="129" bestFit="1" customWidth="1"/>
    <col min="4" max="4" width="8.69140625" style="129" bestFit="1" customWidth="1"/>
    <col min="5" max="5" width="24.69140625" style="129" bestFit="1" customWidth="1"/>
    <col min="6" max="6" width="28.84375" style="129" bestFit="1" customWidth="1"/>
    <col min="7" max="7" width="15.84375" style="129" bestFit="1" customWidth="1"/>
    <col min="8" max="9" width="22.69140625" style="129" bestFit="1" customWidth="1"/>
    <col min="10" max="10" width="23.53515625" style="129" bestFit="1" customWidth="1"/>
    <col min="11" max="11" width="23.69140625" style="129" bestFit="1" customWidth="1"/>
    <col min="12" max="12" width="23.53515625" style="129" bestFit="1" customWidth="1"/>
    <col min="13" max="13" width="22.69140625" style="129" bestFit="1" customWidth="1"/>
    <col min="14" max="14" width="22.69140625" style="129" customWidth="1"/>
    <col min="15" max="15" width="14.69140625" style="129" bestFit="1" customWidth="1"/>
    <col min="16" max="24" width="19.69140625" style="129" bestFit="1" customWidth="1"/>
    <col min="25" max="27" width="20.69140625" style="129" bestFit="1" customWidth="1"/>
    <col min="28" max="29" width="22" style="129" bestFit="1" customWidth="1"/>
    <col min="30" max="30" width="22.84375" style="129" bestFit="1" customWidth="1"/>
    <col min="31" max="31" width="22.15234375" style="129" bestFit="1" customWidth="1"/>
    <col min="32" max="32" width="22.84375" style="129" bestFit="1" customWidth="1"/>
    <col min="33" max="33" width="23" style="129" bestFit="1" customWidth="1"/>
    <col min="34" max="34" width="24.69140625" style="129" bestFit="1" customWidth="1"/>
    <col min="35" max="35" width="28.84375" style="129" bestFit="1" customWidth="1"/>
    <col min="36" max="36" width="21.53515625" style="129" bestFit="1" customWidth="1"/>
    <col min="37" max="37" width="15.84375" style="129" bestFit="1" customWidth="1"/>
    <col min="38" max="46" width="20.84375" style="129" bestFit="1" customWidth="1"/>
    <col min="47" max="49" width="21.84375" style="129" bestFit="1" customWidth="1"/>
    <col min="50" max="51" width="23.15234375" style="129" bestFit="1" customWidth="1"/>
    <col min="52" max="52" width="24.15234375" style="129" bestFit="1" customWidth="1"/>
    <col min="53" max="53" width="23.3046875" style="129" bestFit="1" customWidth="1"/>
    <col min="54" max="55" width="24.15234375" style="129" bestFit="1" customWidth="1"/>
    <col min="56" max="56" width="23.53515625" style="129" bestFit="1" customWidth="1"/>
    <col min="57" max="57" width="23.84375" style="129" bestFit="1" customWidth="1"/>
    <col min="58" max="58" width="28.15234375" style="129" bestFit="1" customWidth="1"/>
    <col min="59" max="59" width="25" style="129" bestFit="1" customWidth="1"/>
    <col min="60" max="60" width="26.3046875" style="129" bestFit="1" customWidth="1"/>
    <col min="61" max="61" width="30.3828125" style="129" bestFit="1" customWidth="1"/>
    <col min="62" max="62" width="23.15234375" style="129" bestFit="1" customWidth="1"/>
    <col min="63" max="63" width="17.53515625" style="129" bestFit="1" customWidth="1"/>
    <col min="64" max="64" width="20" style="129" bestFit="1" customWidth="1"/>
    <col min="65" max="65" width="28.15234375" style="129" bestFit="1" customWidth="1"/>
    <col min="66" max="67" width="27.3046875" style="129" bestFit="1" customWidth="1"/>
    <col min="68" max="68" width="28.15234375" style="129" bestFit="1" customWidth="1"/>
    <col min="69" max="69" width="28.3046875" style="129" bestFit="1" customWidth="1"/>
    <col min="70" max="70" width="15.69140625" style="129" bestFit="1" customWidth="1"/>
    <col min="71" max="71" width="11.3046875" style="129" bestFit="1" customWidth="1"/>
    <col min="72" max="72" width="20.15234375" style="129" bestFit="1" customWidth="1"/>
    <col min="73" max="73" width="11.3046875" style="129" bestFit="1" customWidth="1"/>
    <col min="74" max="74" width="19.15234375" style="129" bestFit="1" customWidth="1"/>
    <col min="75" max="77" width="19.921875" style="129" customWidth="1"/>
    <col min="78" max="16384" width="9.3046875" style="129"/>
  </cols>
  <sheetData>
    <row r="1" spans="1:77" s="148" customFormat="1" ht="51.45">
      <c r="A1" s="144" t="s">
        <v>200</v>
      </c>
      <c r="B1" s="144" t="s">
        <v>234</v>
      </c>
      <c r="C1" s="144" t="s">
        <v>235</v>
      </c>
      <c r="D1" s="144" t="s">
        <v>236</v>
      </c>
      <c r="E1" s="144" t="s">
        <v>237</v>
      </c>
      <c r="F1" s="144" t="s">
        <v>238</v>
      </c>
      <c r="G1" s="145" t="s">
        <v>239</v>
      </c>
      <c r="H1" s="146" t="s">
        <v>240</v>
      </c>
      <c r="I1" s="146" t="s">
        <v>241</v>
      </c>
      <c r="J1" s="146" t="s">
        <v>242</v>
      </c>
      <c r="K1" s="146" t="s">
        <v>243</v>
      </c>
      <c r="L1" s="147" t="s">
        <v>244</v>
      </c>
      <c r="M1" s="147" t="s">
        <v>245</v>
      </c>
      <c r="N1" s="147" t="s">
        <v>246</v>
      </c>
      <c r="O1" s="144" t="s">
        <v>247</v>
      </c>
      <c r="P1" s="144" t="s">
        <v>248</v>
      </c>
      <c r="Q1" s="144" t="s">
        <v>249</v>
      </c>
      <c r="R1" s="144" t="s">
        <v>250</v>
      </c>
      <c r="S1" s="144" t="s">
        <v>251</v>
      </c>
      <c r="T1" s="144" t="s">
        <v>252</v>
      </c>
      <c r="U1" s="144" t="s">
        <v>253</v>
      </c>
      <c r="V1" s="144" t="s">
        <v>254</v>
      </c>
      <c r="W1" s="144" t="s">
        <v>255</v>
      </c>
      <c r="X1" s="144" t="s">
        <v>256</v>
      </c>
      <c r="Y1" s="144" t="s">
        <v>257</v>
      </c>
      <c r="Z1" s="144" t="s">
        <v>258</v>
      </c>
      <c r="AA1" s="144" t="s">
        <v>259</v>
      </c>
      <c r="AB1" s="144" t="s">
        <v>260</v>
      </c>
      <c r="AC1" s="144" t="s">
        <v>261</v>
      </c>
      <c r="AD1" s="144" t="s">
        <v>262</v>
      </c>
      <c r="AE1" s="144" t="s">
        <v>263</v>
      </c>
      <c r="AF1" s="144" t="s">
        <v>264</v>
      </c>
      <c r="AG1" s="144" t="s">
        <v>265</v>
      </c>
      <c r="AH1" s="144" t="s">
        <v>266</v>
      </c>
      <c r="AI1" s="144" t="s">
        <v>267</v>
      </c>
      <c r="AJ1" s="144" t="s">
        <v>268</v>
      </c>
      <c r="AK1" s="144" t="s">
        <v>269</v>
      </c>
      <c r="AL1" s="144" t="s">
        <v>270</v>
      </c>
      <c r="AM1" s="144" t="s">
        <v>271</v>
      </c>
      <c r="AN1" s="144" t="s">
        <v>272</v>
      </c>
      <c r="AO1" s="144" t="s">
        <v>273</v>
      </c>
      <c r="AP1" s="144" t="s">
        <v>274</v>
      </c>
      <c r="AQ1" s="144" t="s">
        <v>275</v>
      </c>
      <c r="AR1" s="144" t="s">
        <v>276</v>
      </c>
      <c r="AS1" s="144" t="s">
        <v>277</v>
      </c>
      <c r="AT1" s="144" t="s">
        <v>278</v>
      </c>
      <c r="AU1" s="144" t="s">
        <v>279</v>
      </c>
      <c r="AV1" s="144" t="s">
        <v>280</v>
      </c>
      <c r="AW1" s="144" t="s">
        <v>281</v>
      </c>
      <c r="AX1" s="144" t="s">
        <v>282</v>
      </c>
      <c r="AY1" s="144" t="s">
        <v>283</v>
      </c>
      <c r="AZ1" s="144" t="s">
        <v>284</v>
      </c>
      <c r="BA1" s="144" t="s">
        <v>285</v>
      </c>
      <c r="BB1" s="144" t="s">
        <v>286</v>
      </c>
      <c r="BC1" s="144" t="s">
        <v>287</v>
      </c>
      <c r="BD1" s="144" t="s">
        <v>288</v>
      </c>
      <c r="BE1" s="144" t="s">
        <v>289</v>
      </c>
      <c r="BF1" s="144" t="s">
        <v>290</v>
      </c>
      <c r="BG1" s="144" t="s">
        <v>291</v>
      </c>
      <c r="BH1" s="144" t="s">
        <v>292</v>
      </c>
      <c r="BI1" s="144" t="s">
        <v>293</v>
      </c>
      <c r="BJ1" s="144" t="s">
        <v>294</v>
      </c>
      <c r="BK1" s="144" t="s">
        <v>295</v>
      </c>
      <c r="BL1" s="147" t="s">
        <v>296</v>
      </c>
      <c r="BM1" s="147" t="s">
        <v>297</v>
      </c>
      <c r="BN1" s="147" t="s">
        <v>298</v>
      </c>
      <c r="BO1" s="147" t="s">
        <v>299</v>
      </c>
      <c r="BP1" s="147" t="s">
        <v>300</v>
      </c>
      <c r="BQ1" s="147" t="s">
        <v>301</v>
      </c>
      <c r="BR1" s="147" t="s">
        <v>302</v>
      </c>
      <c r="BS1" s="147" t="s">
        <v>303</v>
      </c>
      <c r="BT1" s="147" t="s">
        <v>304</v>
      </c>
      <c r="BU1" s="147" t="s">
        <v>305</v>
      </c>
      <c r="BV1" s="147" t="s">
        <v>306</v>
      </c>
      <c r="BW1" s="147" t="s">
        <v>307</v>
      </c>
      <c r="BX1" s="147" t="s">
        <v>308</v>
      </c>
      <c r="BY1" s="147" t="s">
        <v>309</v>
      </c>
    </row>
    <row r="2" spans="1:77">
      <c r="A2" s="130">
        <v>1</v>
      </c>
      <c r="B2" s="131" t="s">
        <v>165</v>
      </c>
      <c r="C2" s="132" t="s">
        <v>310</v>
      </c>
      <c r="D2" s="132" t="s">
        <v>87</v>
      </c>
      <c r="E2" s="133">
        <v>6976.2333333333336</v>
      </c>
      <c r="F2" s="133">
        <v>1584.7277777777779</v>
      </c>
      <c r="G2" s="134">
        <v>5738</v>
      </c>
      <c r="H2" s="134">
        <v>37703</v>
      </c>
      <c r="I2" s="134">
        <v>13519</v>
      </c>
      <c r="J2" s="134">
        <v>27706</v>
      </c>
      <c r="K2" s="134">
        <v>84666</v>
      </c>
      <c r="L2" s="134">
        <v>78928</v>
      </c>
      <c r="M2" s="134">
        <v>56960</v>
      </c>
      <c r="N2" s="134">
        <v>1484</v>
      </c>
      <c r="O2" s="132">
        <v>5611.583333333333</v>
      </c>
      <c r="P2" s="132">
        <v>6203.1555555555551</v>
      </c>
      <c r="Q2" s="132">
        <v>6133.1611111111115</v>
      </c>
      <c r="R2" s="132">
        <v>6039.7777777777774</v>
      </c>
      <c r="S2" s="132">
        <v>6224.9888888888891</v>
      </c>
      <c r="T2" s="132">
        <v>6179.3888888888887</v>
      </c>
      <c r="U2" s="132">
        <v>6201.1333333333332</v>
      </c>
      <c r="V2" s="132">
        <v>6599.9444444444443</v>
      </c>
      <c r="W2" s="132">
        <v>6694.3444444444449</v>
      </c>
      <c r="X2" s="132">
        <v>6778.8611111111113</v>
      </c>
      <c r="Y2" s="132">
        <v>7091.3555555555558</v>
      </c>
      <c r="Z2" s="132">
        <v>6596.416666666667</v>
      </c>
      <c r="AA2" s="132">
        <v>5788.6944444444443</v>
      </c>
      <c r="AB2" s="132">
        <v>36981.60555555555</v>
      </c>
      <c r="AC2" s="132">
        <v>13294.288888888888</v>
      </c>
      <c r="AD2" s="132">
        <v>26255.32777777778</v>
      </c>
      <c r="AE2" s="132">
        <v>55887.477777777778</v>
      </c>
      <c r="AF2" s="132">
        <v>76531.222222222219</v>
      </c>
      <c r="AG2" s="132">
        <v>82142.805555555547</v>
      </c>
      <c r="AH2" s="133">
        <v>7415.7333333333336</v>
      </c>
      <c r="AI2" s="133">
        <v>1644.0555555555557</v>
      </c>
      <c r="AJ2" s="133">
        <v>9059.7888888888883</v>
      </c>
      <c r="AK2" s="134">
        <v>5514</v>
      </c>
      <c r="AL2" s="134">
        <v>5789</v>
      </c>
      <c r="AM2" s="132">
        <v>6303</v>
      </c>
      <c r="AN2" s="132">
        <v>6262</v>
      </c>
      <c r="AO2" s="132">
        <v>6151</v>
      </c>
      <c r="AP2" s="132">
        <v>6391</v>
      </c>
      <c r="AQ2" s="132">
        <v>6333</v>
      </c>
      <c r="AR2" s="132">
        <v>6727</v>
      </c>
      <c r="AS2" s="132">
        <v>6839</v>
      </c>
      <c r="AT2" s="132">
        <v>6960</v>
      </c>
      <c r="AU2" s="132">
        <v>7302</v>
      </c>
      <c r="AV2" s="132">
        <v>7272</v>
      </c>
      <c r="AW2" s="132">
        <v>6867</v>
      </c>
      <c r="AX2" s="132">
        <v>37229</v>
      </c>
      <c r="AY2" s="132">
        <v>13566</v>
      </c>
      <c r="AZ2" s="132">
        <v>28401</v>
      </c>
      <c r="BA2" s="132">
        <v>56309</v>
      </c>
      <c r="BB2" s="132">
        <v>79196</v>
      </c>
      <c r="BC2" s="132">
        <v>84710</v>
      </c>
      <c r="BD2" s="132">
        <v>2456</v>
      </c>
      <c r="BE2" s="132">
        <v>3058</v>
      </c>
      <c r="BF2" s="132">
        <v>50</v>
      </c>
      <c r="BG2" s="132">
        <v>18369</v>
      </c>
      <c r="BH2" s="132">
        <v>7750</v>
      </c>
      <c r="BI2" s="134">
        <v>1707</v>
      </c>
      <c r="BJ2" s="134">
        <v>9457</v>
      </c>
      <c r="BK2" s="134">
        <v>4859</v>
      </c>
      <c r="BL2" s="134">
        <v>6043.5513580494999</v>
      </c>
      <c r="BM2" s="134">
        <v>78756.448641950512</v>
      </c>
      <c r="BN2" s="133"/>
      <c r="BO2" s="133"/>
      <c r="BP2" s="133"/>
      <c r="BQ2" s="134">
        <v>84800.000000000015</v>
      </c>
      <c r="BR2" s="135">
        <v>8.2795504515801921E-2</v>
      </c>
      <c r="BS2" s="136">
        <v>4244.2670000000026</v>
      </c>
      <c r="BT2" s="136">
        <v>4031.267000000003</v>
      </c>
      <c r="BU2" s="136">
        <v>3763.1393800000001</v>
      </c>
      <c r="BV2" s="136">
        <v>4153.4163800000133</v>
      </c>
      <c r="BW2" s="137">
        <v>251</v>
      </c>
      <c r="BX2" s="137">
        <v>26</v>
      </c>
      <c r="BY2" s="138">
        <v>1686.7833330000001</v>
      </c>
    </row>
    <row r="3" spans="1:77">
      <c r="A3" s="130">
        <v>2</v>
      </c>
      <c r="B3" s="131" t="s">
        <v>175</v>
      </c>
      <c r="C3" s="132" t="s">
        <v>311</v>
      </c>
      <c r="D3" s="132" t="s">
        <v>87</v>
      </c>
      <c r="E3" s="133">
        <v>201.9</v>
      </c>
      <c r="F3" s="133">
        <v>19.711111111111112</v>
      </c>
      <c r="G3" s="134">
        <v>102</v>
      </c>
      <c r="H3" s="134">
        <v>672</v>
      </c>
      <c r="I3" s="134">
        <v>247</v>
      </c>
      <c r="J3" s="134">
        <v>486</v>
      </c>
      <c r="K3" s="134">
        <v>1507</v>
      </c>
      <c r="L3" s="134">
        <v>1405</v>
      </c>
      <c r="M3" s="134">
        <v>1021</v>
      </c>
      <c r="N3" s="134">
        <v>21</v>
      </c>
      <c r="O3" s="132">
        <v>102.63888888888889</v>
      </c>
      <c r="P3" s="132">
        <v>117.03888888888889</v>
      </c>
      <c r="Q3" s="132">
        <v>105.44444444444444</v>
      </c>
      <c r="R3" s="132">
        <v>111.28888888888889</v>
      </c>
      <c r="S3" s="132">
        <v>114.83333333333333</v>
      </c>
      <c r="T3" s="132">
        <v>109.15555555555555</v>
      </c>
      <c r="U3" s="132">
        <v>108.29444444444445</v>
      </c>
      <c r="V3" s="132">
        <v>128.25555555555556</v>
      </c>
      <c r="W3" s="132">
        <v>114.07222222222222</v>
      </c>
      <c r="X3" s="132">
        <v>138.60555555555555</v>
      </c>
      <c r="Y3" s="132">
        <v>101.6</v>
      </c>
      <c r="Z3" s="132">
        <v>106.8</v>
      </c>
      <c r="AA3" s="132">
        <v>110.68333333333334</v>
      </c>
      <c r="AB3" s="132">
        <v>666.05555555555554</v>
      </c>
      <c r="AC3" s="132">
        <v>242.32777777777778</v>
      </c>
      <c r="AD3" s="132">
        <v>457.68888888888887</v>
      </c>
      <c r="AE3" s="132">
        <v>1011.0222222222222</v>
      </c>
      <c r="AF3" s="132">
        <v>1366.0722222222221</v>
      </c>
      <c r="AG3" s="132">
        <v>1468.711111111111</v>
      </c>
      <c r="AH3" s="133">
        <v>208.84444444444443</v>
      </c>
      <c r="AI3" s="133">
        <v>20.805555555555557</v>
      </c>
      <c r="AJ3" s="133">
        <v>229.64999999999998</v>
      </c>
      <c r="AK3" s="134">
        <v>102</v>
      </c>
      <c r="AL3" s="139">
        <v>103</v>
      </c>
      <c r="AM3" s="132">
        <v>121</v>
      </c>
      <c r="AN3" s="132">
        <v>107</v>
      </c>
      <c r="AO3" s="132">
        <v>114</v>
      </c>
      <c r="AP3" s="132">
        <v>115</v>
      </c>
      <c r="AQ3" s="132">
        <v>112</v>
      </c>
      <c r="AR3" s="132">
        <v>110</v>
      </c>
      <c r="AS3" s="132">
        <v>127</v>
      </c>
      <c r="AT3" s="132">
        <v>115</v>
      </c>
      <c r="AU3" s="132">
        <v>139</v>
      </c>
      <c r="AV3" s="132">
        <v>97</v>
      </c>
      <c r="AW3" s="132">
        <v>106</v>
      </c>
      <c r="AX3" s="132">
        <v>672</v>
      </c>
      <c r="AY3" s="132">
        <v>237</v>
      </c>
      <c r="AZ3" s="132">
        <v>457</v>
      </c>
      <c r="BA3" s="132">
        <v>1011</v>
      </c>
      <c r="BB3" s="132">
        <v>1366</v>
      </c>
      <c r="BC3" s="132">
        <v>1468</v>
      </c>
      <c r="BD3" s="132">
        <v>100</v>
      </c>
      <c r="BE3" s="132">
        <v>2</v>
      </c>
      <c r="BF3" s="132">
        <v>0</v>
      </c>
      <c r="BG3" s="132">
        <v>738</v>
      </c>
      <c r="BH3" s="132">
        <v>205</v>
      </c>
      <c r="BI3" s="134">
        <v>16</v>
      </c>
      <c r="BJ3" s="134">
        <v>221</v>
      </c>
      <c r="BK3" s="134">
        <v>28</v>
      </c>
      <c r="BL3" s="134">
        <v>100</v>
      </c>
      <c r="BM3" s="134">
        <v>1347</v>
      </c>
      <c r="BN3" s="133"/>
      <c r="BO3" s="133"/>
      <c r="BP3" s="133"/>
      <c r="BQ3" s="134">
        <v>1447</v>
      </c>
      <c r="BR3" s="135">
        <v>8.3648213239601643E-2</v>
      </c>
      <c r="BS3" s="136">
        <v>94.15</v>
      </c>
      <c r="BT3" s="136">
        <v>89.520000000000024</v>
      </c>
      <c r="BU3" s="136">
        <v>88.52000000000001</v>
      </c>
      <c r="BV3" s="136">
        <v>95.15</v>
      </c>
      <c r="BW3" s="137">
        <v>92</v>
      </c>
      <c r="BX3" s="137">
        <v>66</v>
      </c>
      <c r="BY3" s="138">
        <v>106.805555</v>
      </c>
    </row>
    <row r="4" spans="1:77">
      <c r="A4" s="130">
        <v>3</v>
      </c>
      <c r="B4" s="131" t="s">
        <v>185</v>
      </c>
      <c r="C4" s="132" t="s">
        <v>312</v>
      </c>
      <c r="D4" s="132" t="s">
        <v>87</v>
      </c>
      <c r="E4" s="133">
        <v>1172.0666666666666</v>
      </c>
      <c r="F4" s="133">
        <v>202.26666666666668</v>
      </c>
      <c r="G4" s="134">
        <v>831</v>
      </c>
      <c r="H4" s="134">
        <v>5633</v>
      </c>
      <c r="I4" s="134">
        <v>1960</v>
      </c>
      <c r="J4" s="134">
        <v>3914</v>
      </c>
      <c r="K4" s="134">
        <v>12338</v>
      </c>
      <c r="L4" s="134">
        <v>11507</v>
      </c>
      <c r="M4" s="134">
        <v>8424</v>
      </c>
      <c r="N4" s="134">
        <v>206</v>
      </c>
      <c r="O4" s="132">
        <v>820.28888888888889</v>
      </c>
      <c r="P4" s="132">
        <v>926.06666666666672</v>
      </c>
      <c r="Q4" s="132">
        <v>966.77777777777783</v>
      </c>
      <c r="R4" s="132">
        <v>892.28888888888889</v>
      </c>
      <c r="S4" s="132">
        <v>919.16111111111115</v>
      </c>
      <c r="T4" s="132">
        <v>879.82777777777778</v>
      </c>
      <c r="U4" s="132">
        <v>929.98333333333335</v>
      </c>
      <c r="V4" s="132">
        <v>933.1</v>
      </c>
      <c r="W4" s="132">
        <v>982.95</v>
      </c>
      <c r="X4" s="132">
        <v>972.89444444444439</v>
      </c>
      <c r="Y4" s="132">
        <v>1029.1055555555556</v>
      </c>
      <c r="Z4" s="132">
        <v>949.69444444444446</v>
      </c>
      <c r="AA4" s="132">
        <v>769.27777777777783</v>
      </c>
      <c r="AB4" s="132">
        <v>5514.1055555555558</v>
      </c>
      <c r="AC4" s="132">
        <v>1916.0500000000002</v>
      </c>
      <c r="AD4" s="132">
        <v>3720.9722222222222</v>
      </c>
      <c r="AE4" s="132">
        <v>8250.4444444444453</v>
      </c>
      <c r="AF4" s="132">
        <v>11151.12777777778</v>
      </c>
      <c r="AG4" s="132">
        <v>11971.416666666668</v>
      </c>
      <c r="AH4" s="133">
        <v>1197.4888888888888</v>
      </c>
      <c r="AI4" s="133">
        <v>204.15555555555557</v>
      </c>
      <c r="AJ4" s="133">
        <v>1401.6444444444444</v>
      </c>
      <c r="AK4" s="134">
        <v>821</v>
      </c>
      <c r="AL4" s="139">
        <v>847</v>
      </c>
      <c r="AM4" s="132">
        <v>937</v>
      </c>
      <c r="AN4" s="132">
        <v>985</v>
      </c>
      <c r="AO4" s="132">
        <v>912</v>
      </c>
      <c r="AP4" s="132">
        <v>938</v>
      </c>
      <c r="AQ4" s="132">
        <v>911</v>
      </c>
      <c r="AR4" s="132">
        <v>943</v>
      </c>
      <c r="AS4" s="132">
        <v>971</v>
      </c>
      <c r="AT4" s="132">
        <v>1041</v>
      </c>
      <c r="AU4" s="132">
        <v>1000</v>
      </c>
      <c r="AV4" s="132">
        <v>1003</v>
      </c>
      <c r="AW4" s="132">
        <v>959</v>
      </c>
      <c r="AX4" s="132">
        <v>5530</v>
      </c>
      <c r="AY4" s="132">
        <v>1914</v>
      </c>
      <c r="AZ4" s="132">
        <v>4003</v>
      </c>
      <c r="BA4" s="132">
        <v>8265</v>
      </c>
      <c r="BB4" s="132">
        <v>11447</v>
      </c>
      <c r="BC4" s="132">
        <v>12268</v>
      </c>
      <c r="BD4" s="132">
        <v>813</v>
      </c>
      <c r="BE4" s="132">
        <v>8</v>
      </c>
      <c r="BF4" s="132">
        <v>6</v>
      </c>
      <c r="BG4" s="132">
        <v>4025</v>
      </c>
      <c r="BH4" s="132">
        <v>1265</v>
      </c>
      <c r="BI4" s="134">
        <v>224</v>
      </c>
      <c r="BJ4" s="134">
        <v>1489</v>
      </c>
      <c r="BK4" s="134">
        <v>441</v>
      </c>
      <c r="BL4" s="134">
        <v>835</v>
      </c>
      <c r="BM4" s="134">
        <v>11342</v>
      </c>
      <c r="BN4" s="133"/>
      <c r="BO4" s="133"/>
      <c r="BP4" s="133"/>
      <c r="BQ4" s="134">
        <v>12177</v>
      </c>
      <c r="BR4" s="135">
        <v>8.3906684417191402E-2</v>
      </c>
      <c r="BS4" s="136">
        <v>687.82000000000028</v>
      </c>
      <c r="BT4" s="136">
        <v>657.85000000000014</v>
      </c>
      <c r="BU4" s="136">
        <v>623.95000000000005</v>
      </c>
      <c r="BV4" s="136">
        <v>704.72</v>
      </c>
      <c r="BW4" s="137">
        <v>0</v>
      </c>
      <c r="BX4" s="137">
        <v>0</v>
      </c>
      <c r="BY4" s="138">
        <v>0</v>
      </c>
    </row>
    <row r="5" spans="1:77">
      <c r="A5" s="130">
        <v>4</v>
      </c>
      <c r="B5" s="131" t="s">
        <v>195</v>
      </c>
      <c r="C5" s="132" t="s">
        <v>313</v>
      </c>
      <c r="D5" s="132" t="s">
        <v>87</v>
      </c>
      <c r="E5" s="133">
        <v>1942.4444444444443</v>
      </c>
      <c r="F5" s="133">
        <v>316.53333333333336</v>
      </c>
      <c r="G5" s="134">
        <v>1308</v>
      </c>
      <c r="H5" s="134">
        <v>8695</v>
      </c>
      <c r="I5" s="134">
        <v>3029</v>
      </c>
      <c r="J5" s="134">
        <v>6699</v>
      </c>
      <c r="K5" s="134">
        <v>19731</v>
      </c>
      <c r="L5" s="134">
        <v>18423</v>
      </c>
      <c r="M5" s="134">
        <v>13032</v>
      </c>
      <c r="N5" s="134">
        <v>347</v>
      </c>
      <c r="O5" s="132">
        <v>1265.2666666666667</v>
      </c>
      <c r="P5" s="132">
        <v>1389.1111111111111</v>
      </c>
      <c r="Q5" s="132">
        <v>1360.4777777777779</v>
      </c>
      <c r="R5" s="132">
        <v>1390.9944444444445</v>
      </c>
      <c r="S5" s="132">
        <v>1428.8277777777778</v>
      </c>
      <c r="T5" s="132">
        <v>1451.7277777777779</v>
      </c>
      <c r="U5" s="132">
        <v>1518.1111111111111</v>
      </c>
      <c r="V5" s="132">
        <v>1474.7444444444445</v>
      </c>
      <c r="W5" s="132">
        <v>1515.2666666666667</v>
      </c>
      <c r="X5" s="132">
        <v>1684.7333333333333</v>
      </c>
      <c r="Y5" s="132">
        <v>1700.6055555555556</v>
      </c>
      <c r="Z5" s="132">
        <v>1626.4888888888888</v>
      </c>
      <c r="AA5" s="132">
        <v>1489.3222222222223</v>
      </c>
      <c r="AB5" s="132">
        <v>8539.25</v>
      </c>
      <c r="AC5" s="132">
        <v>2990.0111111111109</v>
      </c>
      <c r="AD5" s="132">
        <v>6501.15</v>
      </c>
      <c r="AE5" s="132">
        <v>12794.527777777777</v>
      </c>
      <c r="AF5" s="132">
        <v>18030.411111111109</v>
      </c>
      <c r="AG5" s="132">
        <v>19295.677777777775</v>
      </c>
      <c r="AH5" s="133">
        <v>1883.4</v>
      </c>
      <c r="AI5" s="133">
        <v>342.18333333333334</v>
      </c>
      <c r="AJ5" s="133">
        <v>2225.5833333333335</v>
      </c>
      <c r="AK5" s="134">
        <v>1275</v>
      </c>
      <c r="AL5" s="139">
        <v>1343</v>
      </c>
      <c r="AM5" s="132">
        <v>1426</v>
      </c>
      <c r="AN5" s="132">
        <v>1421</v>
      </c>
      <c r="AO5" s="132">
        <v>1449</v>
      </c>
      <c r="AP5" s="132">
        <v>1479</v>
      </c>
      <c r="AQ5" s="132">
        <v>1518</v>
      </c>
      <c r="AR5" s="132">
        <v>1603</v>
      </c>
      <c r="AS5" s="132">
        <v>1493</v>
      </c>
      <c r="AT5" s="132">
        <v>1720</v>
      </c>
      <c r="AU5" s="132">
        <v>1695</v>
      </c>
      <c r="AV5" s="132">
        <v>1711</v>
      </c>
      <c r="AW5" s="132">
        <v>1661</v>
      </c>
      <c r="AX5" s="132">
        <v>8636</v>
      </c>
      <c r="AY5" s="132">
        <v>3096</v>
      </c>
      <c r="AZ5" s="132">
        <v>6787</v>
      </c>
      <c r="BA5" s="132">
        <v>13007</v>
      </c>
      <c r="BB5" s="132">
        <v>18519</v>
      </c>
      <c r="BC5" s="132">
        <v>19794</v>
      </c>
      <c r="BD5" s="132">
        <v>613</v>
      </c>
      <c r="BE5" s="132">
        <v>662</v>
      </c>
      <c r="BF5" s="132">
        <v>21</v>
      </c>
      <c r="BG5" s="132">
        <v>5235</v>
      </c>
      <c r="BH5" s="132">
        <v>1999</v>
      </c>
      <c r="BI5" s="134">
        <v>324</v>
      </c>
      <c r="BJ5" s="134">
        <v>2323</v>
      </c>
      <c r="BK5" s="134">
        <v>697</v>
      </c>
      <c r="BL5" s="134">
        <v>1306.1514195583595</v>
      </c>
      <c r="BM5" s="134">
        <v>18440.848580441641</v>
      </c>
      <c r="BN5" s="133"/>
      <c r="BO5" s="133"/>
      <c r="BP5" s="133"/>
      <c r="BQ5" s="134">
        <v>19747</v>
      </c>
      <c r="BR5" s="135">
        <v>8.8204921894990851E-2</v>
      </c>
      <c r="BS5" s="136">
        <v>1047.8430000000001</v>
      </c>
      <c r="BT5" s="136">
        <v>1011.8430000000001</v>
      </c>
      <c r="BU5" s="136">
        <v>938.45597999999995</v>
      </c>
      <c r="BV5" s="136">
        <v>1033.6239800000003</v>
      </c>
      <c r="BW5" s="137">
        <v>0</v>
      </c>
      <c r="BX5" s="137">
        <v>0</v>
      </c>
      <c r="BY5" s="138">
        <v>0</v>
      </c>
    </row>
    <row r="6" spans="1:77">
      <c r="A6" s="130">
        <v>5</v>
      </c>
      <c r="B6" s="131" t="s">
        <v>314</v>
      </c>
      <c r="C6" s="132" t="s">
        <v>315</v>
      </c>
      <c r="D6" s="132" t="s">
        <v>87</v>
      </c>
      <c r="E6" s="133">
        <v>438.9111111111111</v>
      </c>
      <c r="F6" s="133">
        <v>67.177777777777777</v>
      </c>
      <c r="G6" s="134">
        <v>213</v>
      </c>
      <c r="H6" s="134">
        <v>1521</v>
      </c>
      <c r="I6" s="134">
        <v>548</v>
      </c>
      <c r="J6" s="134">
        <v>1052</v>
      </c>
      <c r="K6" s="134">
        <v>3334</v>
      </c>
      <c r="L6" s="134">
        <v>3121</v>
      </c>
      <c r="M6" s="134">
        <v>2282</v>
      </c>
      <c r="N6" s="134">
        <v>56</v>
      </c>
      <c r="O6" s="132">
        <v>206.18333333333334</v>
      </c>
      <c r="P6" s="132">
        <v>247.5888888888889</v>
      </c>
      <c r="Q6" s="132">
        <v>230.10555555555555</v>
      </c>
      <c r="R6" s="132">
        <v>213.96666666666667</v>
      </c>
      <c r="S6" s="132">
        <v>287.01111111111112</v>
      </c>
      <c r="T6" s="132">
        <v>253.4</v>
      </c>
      <c r="U6" s="132">
        <v>260.86111111111109</v>
      </c>
      <c r="V6" s="132">
        <v>263.42777777777781</v>
      </c>
      <c r="W6" s="132">
        <v>274.10000000000002</v>
      </c>
      <c r="X6" s="132">
        <v>263.95</v>
      </c>
      <c r="Y6" s="132">
        <v>284.13333333333333</v>
      </c>
      <c r="Z6" s="132">
        <v>236.12777777777777</v>
      </c>
      <c r="AA6" s="132">
        <v>223.07777777777778</v>
      </c>
      <c r="AB6" s="132">
        <v>1492.9333333333334</v>
      </c>
      <c r="AC6" s="132">
        <v>537.52777777777783</v>
      </c>
      <c r="AD6" s="132">
        <v>1007.2888888888888</v>
      </c>
      <c r="AE6" s="132">
        <v>2236.6444444444446</v>
      </c>
      <c r="AF6" s="132">
        <v>3037.75</v>
      </c>
      <c r="AG6" s="132">
        <v>3243.9333333333334</v>
      </c>
      <c r="AH6" s="133">
        <v>477.15555555555557</v>
      </c>
      <c r="AI6" s="133">
        <v>50.672222222222224</v>
      </c>
      <c r="AJ6" s="133">
        <v>527.82777777777778</v>
      </c>
      <c r="AK6" s="134">
        <v>201</v>
      </c>
      <c r="AL6" s="139">
        <v>200</v>
      </c>
      <c r="AM6" s="132">
        <v>244</v>
      </c>
      <c r="AN6" s="132">
        <v>226</v>
      </c>
      <c r="AO6" s="132">
        <v>219</v>
      </c>
      <c r="AP6" s="132">
        <v>287</v>
      </c>
      <c r="AQ6" s="132">
        <v>253</v>
      </c>
      <c r="AR6" s="132">
        <v>265</v>
      </c>
      <c r="AS6" s="132">
        <v>252</v>
      </c>
      <c r="AT6" s="132">
        <v>273</v>
      </c>
      <c r="AU6" s="132">
        <v>263</v>
      </c>
      <c r="AV6" s="132">
        <v>267</v>
      </c>
      <c r="AW6" s="132">
        <v>228</v>
      </c>
      <c r="AX6" s="132">
        <v>1429</v>
      </c>
      <c r="AY6" s="132">
        <v>517</v>
      </c>
      <c r="AZ6" s="132">
        <v>1031</v>
      </c>
      <c r="BA6" s="132">
        <v>2147</v>
      </c>
      <c r="BB6" s="132">
        <v>2977</v>
      </c>
      <c r="BC6" s="132">
        <v>3178</v>
      </c>
      <c r="BD6" s="132">
        <v>201</v>
      </c>
      <c r="BE6" s="132">
        <v>0</v>
      </c>
      <c r="BF6" s="132">
        <v>5</v>
      </c>
      <c r="BG6" s="132">
        <v>1449</v>
      </c>
      <c r="BH6" s="132">
        <v>454</v>
      </c>
      <c r="BI6" s="134">
        <v>39</v>
      </c>
      <c r="BJ6" s="134">
        <v>493</v>
      </c>
      <c r="BK6" s="134">
        <v>78</v>
      </c>
      <c r="BL6" s="134">
        <v>191.69973544973544</v>
      </c>
      <c r="BM6" s="134">
        <v>2908.3002645502647</v>
      </c>
      <c r="BN6" s="133"/>
      <c r="BO6" s="133"/>
      <c r="BP6" s="133"/>
      <c r="BQ6" s="134">
        <v>3100</v>
      </c>
      <c r="BR6" s="135">
        <v>8.395246761588665E-2</v>
      </c>
      <c r="BS6" s="136">
        <v>217.95000000000005</v>
      </c>
      <c r="BT6" s="136">
        <v>205.95000000000005</v>
      </c>
      <c r="BU6" s="136">
        <v>196.75</v>
      </c>
      <c r="BV6" s="136">
        <v>220.95</v>
      </c>
      <c r="BW6" s="137">
        <v>0</v>
      </c>
      <c r="BX6" s="137">
        <v>0</v>
      </c>
      <c r="BY6" s="138">
        <v>0</v>
      </c>
    </row>
    <row r="7" spans="1:77">
      <c r="A7" s="130">
        <v>6</v>
      </c>
      <c r="B7" s="131" t="s">
        <v>316</v>
      </c>
      <c r="C7" s="132" t="s">
        <v>317</v>
      </c>
      <c r="D7" s="132" t="s">
        <v>87</v>
      </c>
      <c r="E7" s="133">
        <v>27.161111111111111</v>
      </c>
      <c r="F7" s="133">
        <v>3.5666666666666669</v>
      </c>
      <c r="G7" s="134">
        <v>9</v>
      </c>
      <c r="H7" s="134">
        <v>78</v>
      </c>
      <c r="I7" s="134">
        <v>24</v>
      </c>
      <c r="J7" s="134">
        <v>66</v>
      </c>
      <c r="K7" s="134">
        <v>177</v>
      </c>
      <c r="L7" s="134">
        <v>168</v>
      </c>
      <c r="M7" s="134">
        <v>111</v>
      </c>
      <c r="N7" s="134">
        <v>2</v>
      </c>
      <c r="O7" s="132">
        <v>8.6111111111111107</v>
      </c>
      <c r="P7" s="132">
        <v>13</v>
      </c>
      <c r="Q7" s="132">
        <v>12.777777777777779</v>
      </c>
      <c r="R7" s="132">
        <v>9.15</v>
      </c>
      <c r="S7" s="132">
        <v>13.372222222222222</v>
      </c>
      <c r="T7" s="132">
        <v>11.28888888888889</v>
      </c>
      <c r="U7" s="132">
        <v>15.772222222222222</v>
      </c>
      <c r="V7" s="132">
        <v>11.1</v>
      </c>
      <c r="W7" s="132">
        <v>13</v>
      </c>
      <c r="X7" s="132">
        <v>16.377777777777776</v>
      </c>
      <c r="Y7" s="132">
        <v>16.627777777777776</v>
      </c>
      <c r="Z7" s="132">
        <v>15.388888888888889</v>
      </c>
      <c r="AA7" s="132">
        <v>16.483333333333334</v>
      </c>
      <c r="AB7" s="132">
        <v>75.361111111111114</v>
      </c>
      <c r="AC7" s="132">
        <v>24.1</v>
      </c>
      <c r="AD7" s="132">
        <v>64.87777777777778</v>
      </c>
      <c r="AE7" s="132">
        <v>108.07222222222221</v>
      </c>
      <c r="AF7" s="132">
        <v>164.3388888888889</v>
      </c>
      <c r="AG7" s="132">
        <v>172.95</v>
      </c>
      <c r="AH7" s="133">
        <v>19.805555555555557</v>
      </c>
      <c r="AI7" s="133">
        <v>1.4444444444444444</v>
      </c>
      <c r="AJ7" s="133">
        <v>21.25</v>
      </c>
      <c r="AK7" s="134">
        <v>11</v>
      </c>
      <c r="AL7" s="139">
        <v>8</v>
      </c>
      <c r="AM7" s="132">
        <v>14</v>
      </c>
      <c r="AN7" s="132">
        <v>14</v>
      </c>
      <c r="AO7" s="132">
        <v>10</v>
      </c>
      <c r="AP7" s="132">
        <v>15</v>
      </c>
      <c r="AQ7" s="132">
        <v>11</v>
      </c>
      <c r="AR7" s="132">
        <v>19</v>
      </c>
      <c r="AS7" s="132">
        <v>11</v>
      </c>
      <c r="AT7" s="132">
        <v>13</v>
      </c>
      <c r="AU7" s="132">
        <v>17</v>
      </c>
      <c r="AV7" s="132">
        <v>16</v>
      </c>
      <c r="AW7" s="132">
        <v>18</v>
      </c>
      <c r="AX7" s="132">
        <v>72</v>
      </c>
      <c r="AY7" s="132">
        <v>30</v>
      </c>
      <c r="AZ7" s="132">
        <v>64</v>
      </c>
      <c r="BA7" s="132">
        <v>113</v>
      </c>
      <c r="BB7" s="132">
        <v>166</v>
      </c>
      <c r="BC7" s="132">
        <v>177</v>
      </c>
      <c r="BD7" s="132">
        <v>11</v>
      </c>
      <c r="BE7" s="132">
        <v>0</v>
      </c>
      <c r="BF7" s="132">
        <v>0</v>
      </c>
      <c r="BG7" s="132">
        <v>40</v>
      </c>
      <c r="BH7" s="132">
        <v>19</v>
      </c>
      <c r="BI7" s="134">
        <v>0</v>
      </c>
      <c r="BJ7" s="134">
        <v>19</v>
      </c>
      <c r="BK7" s="134">
        <v>0</v>
      </c>
      <c r="BL7" s="134">
        <v>10.535714285714285</v>
      </c>
      <c r="BM7" s="134">
        <v>166.46428571428572</v>
      </c>
      <c r="BN7" s="133"/>
      <c r="BO7" s="133"/>
      <c r="BP7" s="133"/>
      <c r="BQ7" s="134">
        <v>177</v>
      </c>
      <c r="BR7" s="135">
        <v>6.8478260869565211E-2</v>
      </c>
      <c r="BS7" s="136">
        <v>22.007999999999999</v>
      </c>
      <c r="BT7" s="136">
        <v>21.457999999999995</v>
      </c>
      <c r="BU7" s="136">
        <v>21.457999999999995</v>
      </c>
      <c r="BV7" s="136">
        <v>22.007999999999999</v>
      </c>
      <c r="BW7" s="137">
        <v>0</v>
      </c>
      <c r="BX7" s="137">
        <v>0</v>
      </c>
      <c r="BY7" s="138">
        <v>0</v>
      </c>
    </row>
    <row r="8" spans="1:77">
      <c r="A8" s="130">
        <v>7</v>
      </c>
      <c r="B8" s="131" t="s">
        <v>318</v>
      </c>
      <c r="C8" s="132" t="s">
        <v>319</v>
      </c>
      <c r="D8" s="132" t="s">
        <v>87</v>
      </c>
      <c r="E8" s="133">
        <v>7830.7444444444445</v>
      </c>
      <c r="F8" s="133">
        <v>870.86666666666667</v>
      </c>
      <c r="G8" s="134">
        <v>4304</v>
      </c>
      <c r="H8" s="134">
        <v>31131</v>
      </c>
      <c r="I8" s="134">
        <v>11895</v>
      </c>
      <c r="J8" s="134">
        <v>24234</v>
      </c>
      <c r="K8" s="134">
        <v>71564</v>
      </c>
      <c r="L8" s="134">
        <v>67260</v>
      </c>
      <c r="M8" s="134">
        <v>47330</v>
      </c>
      <c r="N8" s="134">
        <v>888</v>
      </c>
      <c r="O8" s="132">
        <v>4248.4833333333336</v>
      </c>
      <c r="P8" s="132">
        <v>4942.4222222222224</v>
      </c>
      <c r="Q8" s="132">
        <v>4841.1888888888889</v>
      </c>
      <c r="R8" s="132">
        <v>5122.4666666666662</v>
      </c>
      <c r="S8" s="132">
        <v>5250.8555555555558</v>
      </c>
      <c r="T8" s="132">
        <v>5283.4611111111108</v>
      </c>
      <c r="U8" s="132">
        <v>5319.7388888888891</v>
      </c>
      <c r="V8" s="132">
        <v>5800.083333333333</v>
      </c>
      <c r="W8" s="132">
        <v>5860.6833333333334</v>
      </c>
      <c r="X8" s="132">
        <v>5968.2111111111108</v>
      </c>
      <c r="Y8" s="132">
        <v>6221.8944444444442</v>
      </c>
      <c r="Z8" s="132">
        <v>5824.2055555555553</v>
      </c>
      <c r="AA8" s="132">
        <v>5190.5722222222221</v>
      </c>
      <c r="AB8" s="132">
        <v>30760.133333333335</v>
      </c>
      <c r="AC8" s="132">
        <v>11660.766666666666</v>
      </c>
      <c r="AD8" s="132">
        <v>23204.883333333331</v>
      </c>
      <c r="AE8" s="132">
        <v>46669.383333333339</v>
      </c>
      <c r="AF8" s="132">
        <v>65625.783333333326</v>
      </c>
      <c r="AG8" s="132">
        <v>69874.266666666663</v>
      </c>
      <c r="AH8" s="133">
        <v>8288.8666666666668</v>
      </c>
      <c r="AI8" s="133">
        <v>882.98333333333335</v>
      </c>
      <c r="AJ8" s="133">
        <v>9171.85</v>
      </c>
      <c r="AK8" s="134">
        <v>4232</v>
      </c>
      <c r="AL8" s="139">
        <v>4404</v>
      </c>
      <c r="AM8" s="132">
        <v>5024</v>
      </c>
      <c r="AN8" s="132">
        <v>4965</v>
      </c>
      <c r="AO8" s="132">
        <v>5196</v>
      </c>
      <c r="AP8" s="132">
        <v>5375</v>
      </c>
      <c r="AQ8" s="132">
        <v>5395</v>
      </c>
      <c r="AR8" s="132">
        <v>5675</v>
      </c>
      <c r="AS8" s="132">
        <v>5901</v>
      </c>
      <c r="AT8" s="132">
        <v>5995</v>
      </c>
      <c r="AU8" s="132">
        <v>6205</v>
      </c>
      <c r="AV8" s="132">
        <v>6279</v>
      </c>
      <c r="AW8" s="132">
        <v>6057</v>
      </c>
      <c r="AX8" s="132">
        <v>30359</v>
      </c>
      <c r="AY8" s="132">
        <v>11576</v>
      </c>
      <c r="AZ8" s="132">
        <v>24536</v>
      </c>
      <c r="BA8" s="132">
        <v>46167</v>
      </c>
      <c r="BB8" s="132">
        <v>66471</v>
      </c>
      <c r="BC8" s="132">
        <v>70703</v>
      </c>
      <c r="BD8" s="132">
        <v>3851</v>
      </c>
      <c r="BE8" s="132">
        <v>381</v>
      </c>
      <c r="BF8" s="132">
        <v>31</v>
      </c>
      <c r="BG8" s="132">
        <v>13128</v>
      </c>
      <c r="BH8" s="132">
        <v>8526</v>
      </c>
      <c r="BI8" s="134">
        <v>914</v>
      </c>
      <c r="BJ8" s="134">
        <v>9440</v>
      </c>
      <c r="BK8" s="134">
        <v>3167</v>
      </c>
      <c r="BL8" s="134">
        <v>4499.9999999999991</v>
      </c>
      <c r="BM8" s="134">
        <v>65388</v>
      </c>
      <c r="BN8" s="133"/>
      <c r="BO8" s="133"/>
      <c r="BP8" s="133"/>
      <c r="BQ8" s="134">
        <v>69888</v>
      </c>
      <c r="BR8" s="135">
        <v>9.3289730449815589E-2</v>
      </c>
      <c r="BS8" s="136">
        <v>3895.2980000000002</v>
      </c>
      <c r="BT8" s="136">
        <v>3692.998</v>
      </c>
      <c r="BU8" s="136">
        <v>3505.4740000000006</v>
      </c>
      <c r="BV8" s="136">
        <v>3864.6099999999988</v>
      </c>
      <c r="BW8" s="137">
        <v>2962</v>
      </c>
      <c r="BX8" s="137">
        <v>198</v>
      </c>
      <c r="BY8" s="138">
        <v>1239.4277770000001</v>
      </c>
    </row>
    <row r="9" spans="1:77">
      <c r="A9" s="130">
        <v>8</v>
      </c>
      <c r="B9" s="131" t="s">
        <v>320</v>
      </c>
      <c r="C9" s="132" t="s">
        <v>321</v>
      </c>
      <c r="D9" s="132" t="s">
        <v>87</v>
      </c>
      <c r="E9" s="133">
        <v>828.65555555555557</v>
      </c>
      <c r="F9" s="133">
        <v>125.00555555555556</v>
      </c>
      <c r="G9" s="134">
        <v>360</v>
      </c>
      <c r="H9" s="134">
        <v>2338</v>
      </c>
      <c r="I9" s="134">
        <v>841</v>
      </c>
      <c r="J9" s="134">
        <v>1685</v>
      </c>
      <c r="K9" s="134">
        <v>5224</v>
      </c>
      <c r="L9" s="134">
        <v>4864</v>
      </c>
      <c r="M9" s="134">
        <v>3539</v>
      </c>
      <c r="N9" s="134">
        <v>126</v>
      </c>
      <c r="O9" s="132">
        <v>347.52222222222224</v>
      </c>
      <c r="P9" s="132">
        <v>351.76666666666665</v>
      </c>
      <c r="Q9" s="132">
        <v>375.95555555555558</v>
      </c>
      <c r="R9" s="132">
        <v>381.68333333333334</v>
      </c>
      <c r="S9" s="132">
        <v>420.06666666666666</v>
      </c>
      <c r="T9" s="132">
        <v>368.30555555555554</v>
      </c>
      <c r="U9" s="132">
        <v>374.99444444444447</v>
      </c>
      <c r="V9" s="132">
        <v>391.88333333333333</v>
      </c>
      <c r="W9" s="132">
        <v>412.13888888888891</v>
      </c>
      <c r="X9" s="132">
        <v>474.45</v>
      </c>
      <c r="Y9" s="132">
        <v>412.11111111111109</v>
      </c>
      <c r="Z9" s="132">
        <v>374.48333333333335</v>
      </c>
      <c r="AA9" s="132">
        <v>278.40555555555557</v>
      </c>
      <c r="AB9" s="132">
        <v>2272.7722222222224</v>
      </c>
      <c r="AC9" s="132">
        <v>804.02222222222224</v>
      </c>
      <c r="AD9" s="132">
        <v>1539.45</v>
      </c>
      <c r="AE9" s="132">
        <v>3424.3166666666666</v>
      </c>
      <c r="AF9" s="132">
        <v>4616.2444444444445</v>
      </c>
      <c r="AG9" s="132">
        <v>4963.7666666666664</v>
      </c>
      <c r="AH9" s="133">
        <v>866.79444444444448</v>
      </c>
      <c r="AI9" s="133">
        <v>125.29444444444445</v>
      </c>
      <c r="AJ9" s="133">
        <v>992.08888888888896</v>
      </c>
      <c r="AK9" s="134">
        <v>367</v>
      </c>
      <c r="AL9" s="139">
        <v>352</v>
      </c>
      <c r="AM9" s="132">
        <v>352</v>
      </c>
      <c r="AN9" s="132">
        <v>371</v>
      </c>
      <c r="AO9" s="132">
        <v>382</v>
      </c>
      <c r="AP9" s="132">
        <v>428</v>
      </c>
      <c r="AQ9" s="132">
        <v>380</v>
      </c>
      <c r="AR9" s="132">
        <v>391</v>
      </c>
      <c r="AS9" s="132">
        <v>413</v>
      </c>
      <c r="AT9" s="132">
        <v>445</v>
      </c>
      <c r="AU9" s="132">
        <v>472</v>
      </c>
      <c r="AV9" s="132">
        <v>411</v>
      </c>
      <c r="AW9" s="132">
        <v>379</v>
      </c>
      <c r="AX9" s="132">
        <v>2265</v>
      </c>
      <c r="AY9" s="132">
        <v>804</v>
      </c>
      <c r="AZ9" s="132">
        <v>1707</v>
      </c>
      <c r="BA9" s="132">
        <v>3436</v>
      </c>
      <c r="BB9" s="132">
        <v>4776</v>
      </c>
      <c r="BC9" s="132">
        <v>5143</v>
      </c>
      <c r="BD9" s="132">
        <v>356</v>
      </c>
      <c r="BE9" s="132">
        <v>11</v>
      </c>
      <c r="BF9" s="132">
        <v>3</v>
      </c>
      <c r="BG9" s="132">
        <v>1999</v>
      </c>
      <c r="BH9" s="132">
        <v>888</v>
      </c>
      <c r="BI9" s="134">
        <v>123</v>
      </c>
      <c r="BJ9" s="134">
        <v>1011</v>
      </c>
      <c r="BK9" s="134">
        <v>128</v>
      </c>
      <c r="BL9" s="134">
        <v>363</v>
      </c>
      <c r="BM9" s="134">
        <v>4705</v>
      </c>
      <c r="BN9" s="133"/>
      <c r="BO9" s="133"/>
      <c r="BP9" s="133"/>
      <c r="BQ9" s="134">
        <v>5068</v>
      </c>
      <c r="BR9" s="135">
        <v>9.2211698155377775E-2</v>
      </c>
      <c r="BS9" s="136">
        <v>332.46199999999999</v>
      </c>
      <c r="BT9" s="136">
        <v>313.46200000000005</v>
      </c>
      <c r="BU9" s="136">
        <v>296.91200000000003</v>
      </c>
      <c r="BV9" s="136">
        <v>330.09200000000004</v>
      </c>
      <c r="BW9" s="137">
        <v>0</v>
      </c>
      <c r="BX9" s="137">
        <v>15</v>
      </c>
      <c r="BY9" s="138">
        <v>152.41666599999999</v>
      </c>
    </row>
    <row r="10" spans="1:77">
      <c r="A10" s="130">
        <v>9</v>
      </c>
      <c r="B10" s="131" t="s">
        <v>322</v>
      </c>
      <c r="C10" s="132" t="s">
        <v>323</v>
      </c>
      <c r="D10" s="132" t="s">
        <v>87</v>
      </c>
      <c r="E10" s="133">
        <v>376.78888888888889</v>
      </c>
      <c r="F10" s="133">
        <v>28.038888888888888</v>
      </c>
      <c r="G10" s="134">
        <v>139</v>
      </c>
      <c r="H10" s="134">
        <v>923</v>
      </c>
      <c r="I10" s="134">
        <v>329</v>
      </c>
      <c r="J10" s="134">
        <v>694</v>
      </c>
      <c r="K10" s="134">
        <v>2085</v>
      </c>
      <c r="L10" s="134">
        <v>1946</v>
      </c>
      <c r="M10" s="134">
        <v>1391</v>
      </c>
      <c r="N10" s="134">
        <v>30</v>
      </c>
      <c r="O10" s="132">
        <v>136.69444444444446</v>
      </c>
      <c r="P10" s="132">
        <v>128.39444444444445</v>
      </c>
      <c r="Q10" s="132">
        <v>166.65</v>
      </c>
      <c r="R10" s="132">
        <v>140.322222222222</v>
      </c>
      <c r="S10" s="132">
        <v>159.62777777777777</v>
      </c>
      <c r="T10" s="132">
        <v>155.9</v>
      </c>
      <c r="U10" s="132">
        <v>152.73333333333332</v>
      </c>
      <c r="V10" s="132">
        <v>152.31666666666666</v>
      </c>
      <c r="W10" s="132">
        <v>170.67222222222222</v>
      </c>
      <c r="X10" s="132">
        <v>178.89444444444445</v>
      </c>
      <c r="Y10" s="132">
        <v>171.1611111111111</v>
      </c>
      <c r="Z10" s="132">
        <v>158.11111111111111</v>
      </c>
      <c r="AA10" s="132">
        <v>136.46666666666667</v>
      </c>
      <c r="AB10" s="132">
        <v>903.62777777777774</v>
      </c>
      <c r="AC10" s="132">
        <v>322.98888888888888</v>
      </c>
      <c r="AD10" s="132">
        <v>644.63333333333333</v>
      </c>
      <c r="AE10" s="132">
        <v>1363.3111111111109</v>
      </c>
      <c r="AF10" s="132">
        <v>1871.2499999999998</v>
      </c>
      <c r="AG10" s="132">
        <v>2007.9444444444441</v>
      </c>
      <c r="AH10" s="133">
        <v>354.35555555555555</v>
      </c>
      <c r="AI10" s="133">
        <v>29.388888888888889</v>
      </c>
      <c r="AJ10" s="133">
        <v>383.74444444444447</v>
      </c>
      <c r="AK10" s="134">
        <v>150</v>
      </c>
      <c r="AL10" s="139">
        <v>137</v>
      </c>
      <c r="AM10" s="132">
        <v>130</v>
      </c>
      <c r="AN10" s="132">
        <v>170</v>
      </c>
      <c r="AO10" s="132">
        <v>136</v>
      </c>
      <c r="AP10" s="132">
        <v>168</v>
      </c>
      <c r="AQ10" s="132">
        <v>163</v>
      </c>
      <c r="AR10" s="132">
        <v>161</v>
      </c>
      <c r="AS10" s="132">
        <v>161</v>
      </c>
      <c r="AT10" s="132">
        <v>182</v>
      </c>
      <c r="AU10" s="132">
        <v>179</v>
      </c>
      <c r="AV10" s="132">
        <v>165</v>
      </c>
      <c r="AW10" s="132">
        <v>156</v>
      </c>
      <c r="AX10" s="132">
        <v>904</v>
      </c>
      <c r="AY10" s="132">
        <v>322</v>
      </c>
      <c r="AZ10" s="132">
        <v>682</v>
      </c>
      <c r="BA10" s="132">
        <v>1376</v>
      </c>
      <c r="BB10" s="132">
        <v>1908</v>
      </c>
      <c r="BC10" s="132">
        <v>2058</v>
      </c>
      <c r="BD10" s="132">
        <v>150</v>
      </c>
      <c r="BE10" s="132">
        <v>0</v>
      </c>
      <c r="BF10" s="132">
        <v>4</v>
      </c>
      <c r="BG10" s="132">
        <v>942</v>
      </c>
      <c r="BH10" s="132">
        <v>354</v>
      </c>
      <c r="BI10" s="134">
        <v>26</v>
      </c>
      <c r="BJ10" s="134">
        <v>380</v>
      </c>
      <c r="BK10" s="134">
        <v>62</v>
      </c>
      <c r="BL10" s="134">
        <v>145</v>
      </c>
      <c r="BM10" s="134">
        <v>1902</v>
      </c>
      <c r="BN10" s="133"/>
      <c r="BO10" s="133"/>
      <c r="BP10" s="133"/>
      <c r="BQ10" s="134">
        <v>2047</v>
      </c>
      <c r="BR10" s="135">
        <v>8.9690241834402495E-2</v>
      </c>
      <c r="BS10" s="136">
        <v>147.63999999999999</v>
      </c>
      <c r="BT10" s="136">
        <v>136.63999999999999</v>
      </c>
      <c r="BU10" s="136">
        <v>133.68</v>
      </c>
      <c r="BV10" s="136">
        <v>151.13999999999999</v>
      </c>
      <c r="BW10" s="137">
        <v>0</v>
      </c>
      <c r="BX10" s="137">
        <v>0</v>
      </c>
      <c r="BY10" s="138">
        <v>0</v>
      </c>
    </row>
    <row r="11" spans="1:77">
      <c r="A11" s="130">
        <v>10</v>
      </c>
      <c r="B11" s="131" t="s">
        <v>324</v>
      </c>
      <c r="C11" s="132" t="s">
        <v>325</v>
      </c>
      <c r="D11" s="132" t="s">
        <v>87</v>
      </c>
      <c r="E11" s="133">
        <v>112.87222222222222</v>
      </c>
      <c r="F11" s="133">
        <v>11.822222222222223</v>
      </c>
      <c r="G11" s="134">
        <v>118</v>
      </c>
      <c r="H11" s="134">
        <v>686</v>
      </c>
      <c r="I11" s="134">
        <v>139</v>
      </c>
      <c r="J11" s="134">
        <v>300</v>
      </c>
      <c r="K11" s="134">
        <v>1243</v>
      </c>
      <c r="L11" s="134">
        <v>1125</v>
      </c>
      <c r="M11" s="134">
        <v>943</v>
      </c>
      <c r="N11" s="134">
        <v>10</v>
      </c>
      <c r="O11" s="132">
        <v>113.17222222222222</v>
      </c>
      <c r="P11" s="132">
        <v>125.28888888888889</v>
      </c>
      <c r="Q11" s="132">
        <v>136.1611111111111</v>
      </c>
      <c r="R11" s="132">
        <v>118.62777777777778</v>
      </c>
      <c r="S11" s="132">
        <v>107.32222222222222</v>
      </c>
      <c r="T11" s="132">
        <v>94.338888888888889</v>
      </c>
      <c r="U11" s="132">
        <v>80.88333333333334</v>
      </c>
      <c r="V11" s="132">
        <v>69.62222222222222</v>
      </c>
      <c r="W11" s="132">
        <v>67.672222222222217</v>
      </c>
      <c r="X11" s="132">
        <v>73.938888888888883</v>
      </c>
      <c r="Y11" s="132">
        <v>83.161111111111111</v>
      </c>
      <c r="Z11" s="132">
        <v>65.155555555555551</v>
      </c>
      <c r="AA11" s="132">
        <v>68.516666666666666</v>
      </c>
      <c r="AB11" s="132">
        <v>662.62222222222215</v>
      </c>
      <c r="AC11" s="132">
        <v>137.29444444444442</v>
      </c>
      <c r="AD11" s="132">
        <v>290.77222222222218</v>
      </c>
      <c r="AE11" s="132">
        <v>913.08888888888885</v>
      </c>
      <c r="AF11" s="132">
        <v>1090.6888888888889</v>
      </c>
      <c r="AG11" s="132">
        <v>1203.8611111111111</v>
      </c>
      <c r="AH11" s="133">
        <v>119.38888888888889</v>
      </c>
      <c r="AI11" s="133">
        <v>9.9444444444444446</v>
      </c>
      <c r="AJ11" s="133">
        <v>129.33333333333334</v>
      </c>
      <c r="AK11" s="134">
        <v>175</v>
      </c>
      <c r="AL11" s="139">
        <v>179</v>
      </c>
      <c r="AM11" s="132">
        <v>163</v>
      </c>
      <c r="AN11" s="132">
        <v>183</v>
      </c>
      <c r="AO11" s="132">
        <v>150</v>
      </c>
      <c r="AP11" s="132">
        <v>142</v>
      </c>
      <c r="AQ11" s="132">
        <v>108</v>
      </c>
      <c r="AR11" s="132">
        <v>62</v>
      </c>
      <c r="AS11" s="132">
        <v>67</v>
      </c>
      <c r="AT11" s="132">
        <v>66</v>
      </c>
      <c r="AU11" s="132">
        <v>70</v>
      </c>
      <c r="AV11" s="132">
        <v>81</v>
      </c>
      <c r="AW11" s="132">
        <v>65</v>
      </c>
      <c r="AX11" s="132">
        <v>925</v>
      </c>
      <c r="AY11" s="132">
        <v>129</v>
      </c>
      <c r="AZ11" s="132">
        <v>282</v>
      </c>
      <c r="BA11" s="132">
        <v>1229</v>
      </c>
      <c r="BB11" s="132">
        <v>1336</v>
      </c>
      <c r="BC11" s="132">
        <v>1511</v>
      </c>
      <c r="BD11" s="132">
        <v>175</v>
      </c>
      <c r="BE11" s="132">
        <v>0</v>
      </c>
      <c r="BF11" s="132">
        <v>0</v>
      </c>
      <c r="BG11" s="132">
        <v>474</v>
      </c>
      <c r="BH11" s="132">
        <v>133</v>
      </c>
      <c r="BI11" s="134">
        <v>10</v>
      </c>
      <c r="BJ11" s="134">
        <v>143</v>
      </c>
      <c r="BK11" s="134">
        <v>85</v>
      </c>
      <c r="BL11" s="134">
        <v>174.28107502799551</v>
      </c>
      <c r="BM11" s="134">
        <v>1336.7189249720045</v>
      </c>
      <c r="BN11" s="133"/>
      <c r="BO11" s="133"/>
      <c r="BP11" s="133"/>
      <c r="BQ11" s="134">
        <v>1511</v>
      </c>
      <c r="BR11" s="135">
        <v>8.7009986265308426E-2</v>
      </c>
      <c r="BS11" s="136">
        <v>77.862000000000009</v>
      </c>
      <c r="BT11" s="136">
        <v>73.412000000000006</v>
      </c>
      <c r="BU11" s="136">
        <v>72.462000000000003</v>
      </c>
      <c r="BV11" s="136">
        <v>77.161999999999978</v>
      </c>
      <c r="BW11" s="137">
        <v>0</v>
      </c>
      <c r="BX11" s="137">
        <v>207</v>
      </c>
      <c r="BY11" s="138">
        <v>298.91111100000001</v>
      </c>
    </row>
    <row r="12" spans="1:77">
      <c r="A12" s="130">
        <v>11</v>
      </c>
      <c r="B12" s="131" t="s">
        <v>326</v>
      </c>
      <c r="C12" s="132" t="s">
        <v>327</v>
      </c>
      <c r="D12" s="132" t="s">
        <v>87</v>
      </c>
      <c r="E12" s="133">
        <v>205.7</v>
      </c>
      <c r="F12" s="133">
        <v>11.71111111111111</v>
      </c>
      <c r="G12" s="134">
        <v>88</v>
      </c>
      <c r="H12" s="134">
        <v>645</v>
      </c>
      <c r="I12" s="134">
        <v>239</v>
      </c>
      <c r="J12" s="134">
        <v>463</v>
      </c>
      <c r="K12" s="134">
        <v>1435</v>
      </c>
      <c r="L12" s="134">
        <v>1347</v>
      </c>
      <c r="M12" s="134">
        <v>972</v>
      </c>
      <c r="N12" s="134">
        <v>9</v>
      </c>
      <c r="O12" s="132">
        <v>85.905555555555551</v>
      </c>
      <c r="P12" s="132">
        <v>102.46111111111111</v>
      </c>
      <c r="Q12" s="132">
        <v>100.63333333333334</v>
      </c>
      <c r="R12" s="132">
        <v>100.81111111111112</v>
      </c>
      <c r="S12" s="132">
        <v>108.11666666666666</v>
      </c>
      <c r="T12" s="132">
        <v>104.60555555555555</v>
      </c>
      <c r="U12" s="132">
        <v>119.46666666666667</v>
      </c>
      <c r="V12" s="132">
        <v>116.2</v>
      </c>
      <c r="W12" s="132">
        <v>124.42777777777778</v>
      </c>
      <c r="X12" s="132">
        <v>118.96111111111111</v>
      </c>
      <c r="Y12" s="132">
        <v>115.62222222222222</v>
      </c>
      <c r="Z12" s="132">
        <v>103.99444444444444</v>
      </c>
      <c r="AA12" s="132">
        <v>107.36111111111111</v>
      </c>
      <c r="AB12" s="132">
        <v>636.09444444444443</v>
      </c>
      <c r="AC12" s="132">
        <v>240.62777777777779</v>
      </c>
      <c r="AD12" s="132">
        <v>445.93888888888887</v>
      </c>
      <c r="AE12" s="132">
        <v>962.62777777777785</v>
      </c>
      <c r="AF12" s="132">
        <v>1322.6611111111113</v>
      </c>
      <c r="AG12" s="132">
        <v>1408.5666666666668</v>
      </c>
      <c r="AH12" s="133">
        <v>196.62222222222223</v>
      </c>
      <c r="AI12" s="133">
        <v>10.477777777777778</v>
      </c>
      <c r="AJ12" s="133">
        <v>207.10000000000002</v>
      </c>
      <c r="AK12" s="134">
        <v>88</v>
      </c>
      <c r="AL12" s="139">
        <v>93</v>
      </c>
      <c r="AM12" s="132">
        <v>110</v>
      </c>
      <c r="AN12" s="132">
        <v>93</v>
      </c>
      <c r="AO12" s="132">
        <v>98</v>
      </c>
      <c r="AP12" s="132">
        <v>110</v>
      </c>
      <c r="AQ12" s="132">
        <v>107</v>
      </c>
      <c r="AR12" s="132">
        <v>129</v>
      </c>
      <c r="AS12" s="132">
        <v>116</v>
      </c>
      <c r="AT12" s="132">
        <v>129</v>
      </c>
      <c r="AU12" s="132">
        <v>117</v>
      </c>
      <c r="AV12" s="132">
        <v>109</v>
      </c>
      <c r="AW12" s="132">
        <v>98</v>
      </c>
      <c r="AX12" s="132">
        <v>611</v>
      </c>
      <c r="AY12" s="132">
        <v>245</v>
      </c>
      <c r="AZ12" s="132">
        <v>453</v>
      </c>
      <c r="BA12" s="132">
        <v>944</v>
      </c>
      <c r="BB12" s="132">
        <v>1309</v>
      </c>
      <c r="BC12" s="132">
        <v>1397</v>
      </c>
      <c r="BD12" s="132">
        <v>88</v>
      </c>
      <c r="BE12" s="132">
        <v>0</v>
      </c>
      <c r="BF12" s="132">
        <v>0</v>
      </c>
      <c r="BG12" s="132">
        <v>453</v>
      </c>
      <c r="BH12" s="132">
        <v>189</v>
      </c>
      <c r="BI12" s="134">
        <v>12</v>
      </c>
      <c r="BJ12" s="134">
        <v>201</v>
      </c>
      <c r="BK12" s="134">
        <v>117</v>
      </c>
      <c r="BL12" s="134">
        <v>94</v>
      </c>
      <c r="BM12" s="134">
        <v>1303</v>
      </c>
      <c r="BN12" s="133"/>
      <c r="BO12" s="133"/>
      <c r="BP12" s="133"/>
      <c r="BQ12" s="134">
        <v>1397</v>
      </c>
      <c r="BR12" s="135">
        <v>8.4317964040401039E-2</v>
      </c>
      <c r="BS12" s="136">
        <v>90.744</v>
      </c>
      <c r="BT12" s="136">
        <v>86.244</v>
      </c>
      <c r="BU12" s="136">
        <v>82.760999999999996</v>
      </c>
      <c r="BV12" s="136">
        <v>95.234499999999997</v>
      </c>
      <c r="BW12" s="137">
        <v>0</v>
      </c>
      <c r="BX12" s="137">
        <v>0</v>
      </c>
      <c r="BY12" s="138">
        <v>0</v>
      </c>
    </row>
    <row r="13" spans="1:77">
      <c r="A13" s="130">
        <v>12</v>
      </c>
      <c r="B13" s="131" t="s">
        <v>328</v>
      </c>
      <c r="C13" s="132" t="s">
        <v>329</v>
      </c>
      <c r="D13" s="132" t="s">
        <v>87</v>
      </c>
      <c r="E13" s="133">
        <v>6036.1</v>
      </c>
      <c r="F13" s="133">
        <v>1356.5666666666666</v>
      </c>
      <c r="G13" s="134">
        <v>3811</v>
      </c>
      <c r="H13" s="134">
        <v>25494</v>
      </c>
      <c r="I13" s="134">
        <v>9436</v>
      </c>
      <c r="J13" s="134">
        <v>20380</v>
      </c>
      <c r="K13" s="134">
        <v>59121</v>
      </c>
      <c r="L13" s="134">
        <v>55310</v>
      </c>
      <c r="M13" s="134">
        <v>38741</v>
      </c>
      <c r="N13" s="134">
        <v>1388</v>
      </c>
      <c r="O13" s="132">
        <v>3659.1222222222223</v>
      </c>
      <c r="P13" s="132">
        <v>3996.65</v>
      </c>
      <c r="Q13" s="132">
        <v>3965.5277777777778</v>
      </c>
      <c r="R13" s="132">
        <v>4144.3055555555557</v>
      </c>
      <c r="S13" s="132">
        <v>4299.5555555555557</v>
      </c>
      <c r="T13" s="132">
        <v>4149.4277777777779</v>
      </c>
      <c r="U13" s="132">
        <v>4244.7222222222226</v>
      </c>
      <c r="V13" s="132">
        <v>4441.5</v>
      </c>
      <c r="W13" s="132">
        <v>4653.3999999999996</v>
      </c>
      <c r="X13" s="132">
        <v>5039.25</v>
      </c>
      <c r="Y13" s="132">
        <v>5010</v>
      </c>
      <c r="Z13" s="132">
        <v>4659.2333333333336</v>
      </c>
      <c r="AA13" s="132">
        <v>3840.8611111111113</v>
      </c>
      <c r="AB13" s="132">
        <v>24800.18888888889</v>
      </c>
      <c r="AC13" s="132">
        <v>9094.9</v>
      </c>
      <c r="AD13" s="132">
        <v>18549.344444444447</v>
      </c>
      <c r="AE13" s="132">
        <v>37554.211111111108</v>
      </c>
      <c r="AF13" s="132">
        <v>52444.433333333334</v>
      </c>
      <c r="AG13" s="132">
        <v>56103.555555555547</v>
      </c>
      <c r="AH13" s="133">
        <v>6121.1055555555558</v>
      </c>
      <c r="AI13" s="133">
        <v>1400.6055555555556</v>
      </c>
      <c r="AJ13" s="133">
        <v>7521.7111111111117</v>
      </c>
      <c r="AK13" s="134">
        <v>3540</v>
      </c>
      <c r="AL13" s="139">
        <v>3956</v>
      </c>
      <c r="AM13" s="132">
        <v>4136</v>
      </c>
      <c r="AN13" s="132">
        <v>4117</v>
      </c>
      <c r="AO13" s="132">
        <v>4185</v>
      </c>
      <c r="AP13" s="132">
        <v>4474</v>
      </c>
      <c r="AQ13" s="132">
        <v>4303</v>
      </c>
      <c r="AR13" s="132">
        <v>4586</v>
      </c>
      <c r="AS13" s="132">
        <v>4655</v>
      </c>
      <c r="AT13" s="132">
        <v>5250</v>
      </c>
      <c r="AU13" s="132">
        <v>5226</v>
      </c>
      <c r="AV13" s="132">
        <v>5121</v>
      </c>
      <c r="AW13" s="132">
        <v>4763</v>
      </c>
      <c r="AX13" s="132">
        <v>25171</v>
      </c>
      <c r="AY13" s="132">
        <v>9241</v>
      </c>
      <c r="AZ13" s="132">
        <v>20360</v>
      </c>
      <c r="BA13" s="132">
        <v>37952</v>
      </c>
      <c r="BB13" s="132">
        <v>54772</v>
      </c>
      <c r="BC13" s="132">
        <v>58312</v>
      </c>
      <c r="BD13" s="132">
        <v>3477</v>
      </c>
      <c r="BE13" s="132">
        <v>63</v>
      </c>
      <c r="BF13" s="132">
        <v>20</v>
      </c>
      <c r="BG13" s="132">
        <v>29058</v>
      </c>
      <c r="BH13" s="132">
        <v>6181</v>
      </c>
      <c r="BI13" s="134">
        <v>1405</v>
      </c>
      <c r="BJ13" s="134">
        <v>7586</v>
      </c>
      <c r="BK13" s="134">
        <v>13759</v>
      </c>
      <c r="BL13" s="134">
        <v>3716.0000000000005</v>
      </c>
      <c r="BM13" s="134">
        <v>53893</v>
      </c>
      <c r="BN13" s="133"/>
      <c r="BO13" s="133"/>
      <c r="BP13" s="133"/>
      <c r="BQ13" s="134">
        <v>57609</v>
      </c>
      <c r="BR13" s="135">
        <v>9.6793861035683382E-2</v>
      </c>
      <c r="BS13" s="136">
        <v>3508.8790000000022</v>
      </c>
      <c r="BT13" s="136">
        <v>3352.8790000000022</v>
      </c>
      <c r="BU13" s="136">
        <v>3119.1890000000017</v>
      </c>
      <c r="BV13" s="136">
        <v>3504.4930000000036</v>
      </c>
      <c r="BW13" s="137">
        <v>0</v>
      </c>
      <c r="BX13" s="137">
        <v>0</v>
      </c>
      <c r="BY13" s="138">
        <v>0</v>
      </c>
    </row>
    <row r="14" spans="1:77">
      <c r="A14" s="130">
        <v>13</v>
      </c>
      <c r="B14" s="131" t="s">
        <v>330</v>
      </c>
      <c r="C14" s="132" t="s">
        <v>331</v>
      </c>
      <c r="D14" s="132" t="s">
        <v>87</v>
      </c>
      <c r="E14" s="133">
        <v>1078.4388888888889</v>
      </c>
      <c r="F14" s="133">
        <v>118.63333333333334</v>
      </c>
      <c r="G14" s="134">
        <v>942</v>
      </c>
      <c r="H14" s="134">
        <v>6013</v>
      </c>
      <c r="I14" s="134">
        <v>1911</v>
      </c>
      <c r="J14" s="134">
        <v>3555</v>
      </c>
      <c r="K14" s="134">
        <v>12421</v>
      </c>
      <c r="L14" s="134">
        <v>11479</v>
      </c>
      <c r="M14" s="134">
        <v>8866</v>
      </c>
      <c r="N14" s="134">
        <v>116</v>
      </c>
      <c r="O14" s="132">
        <v>941.35</v>
      </c>
      <c r="P14" s="132">
        <v>965.95555555555552</v>
      </c>
      <c r="Q14" s="132">
        <v>1024.3666666666666</v>
      </c>
      <c r="R14" s="132">
        <v>1026.5611111111111</v>
      </c>
      <c r="S14" s="132">
        <v>1004.2611111111111</v>
      </c>
      <c r="T14" s="132">
        <v>965.75555555555559</v>
      </c>
      <c r="U14" s="132">
        <v>970.76666666666665</v>
      </c>
      <c r="V14" s="132">
        <v>981.85555555555561</v>
      </c>
      <c r="W14" s="132">
        <v>889.62222222222226</v>
      </c>
      <c r="X14" s="132">
        <v>926.42222222222222</v>
      </c>
      <c r="Y14" s="132">
        <v>914.88333333333333</v>
      </c>
      <c r="Z14" s="132">
        <v>836.36666666666667</v>
      </c>
      <c r="AA14" s="132">
        <v>724.05</v>
      </c>
      <c r="AB14" s="132">
        <v>5957.6666666666661</v>
      </c>
      <c r="AC14" s="132">
        <v>1871.4777777777779</v>
      </c>
      <c r="AD14" s="132">
        <v>3401.7222222222226</v>
      </c>
      <c r="AE14" s="132">
        <v>8770.4944444444445</v>
      </c>
      <c r="AF14" s="132">
        <v>11230.866666666665</v>
      </c>
      <c r="AG14" s="132">
        <v>12172.216666666665</v>
      </c>
      <c r="AH14" s="133">
        <v>1126.0944444444444</v>
      </c>
      <c r="AI14" s="133">
        <v>119.98333333333333</v>
      </c>
      <c r="AJ14" s="133">
        <v>1246.0777777777778</v>
      </c>
      <c r="AK14" s="134">
        <v>1051</v>
      </c>
      <c r="AL14" s="139">
        <v>1162</v>
      </c>
      <c r="AM14" s="132">
        <v>1194</v>
      </c>
      <c r="AN14" s="132">
        <v>1206</v>
      </c>
      <c r="AO14" s="132">
        <v>1231</v>
      </c>
      <c r="AP14" s="132">
        <v>1194</v>
      </c>
      <c r="AQ14" s="132">
        <v>1192</v>
      </c>
      <c r="AR14" s="132">
        <v>1173</v>
      </c>
      <c r="AS14" s="132">
        <v>1143</v>
      </c>
      <c r="AT14" s="132">
        <v>1024</v>
      </c>
      <c r="AU14" s="132">
        <v>1044</v>
      </c>
      <c r="AV14" s="132">
        <v>986</v>
      </c>
      <c r="AW14" s="132">
        <v>879</v>
      </c>
      <c r="AX14" s="132">
        <v>7179</v>
      </c>
      <c r="AY14" s="132">
        <v>2316</v>
      </c>
      <c r="AZ14" s="132">
        <v>3933</v>
      </c>
      <c r="BA14" s="132">
        <v>10546</v>
      </c>
      <c r="BB14" s="132">
        <v>13428</v>
      </c>
      <c r="BC14" s="132">
        <v>14479</v>
      </c>
      <c r="BD14" s="132">
        <v>1020</v>
      </c>
      <c r="BE14" s="132">
        <v>31</v>
      </c>
      <c r="BF14" s="132">
        <v>5</v>
      </c>
      <c r="BG14" s="132">
        <v>4447</v>
      </c>
      <c r="BH14" s="132">
        <v>1160</v>
      </c>
      <c r="BI14" s="134">
        <v>156</v>
      </c>
      <c r="BJ14" s="134">
        <v>1316</v>
      </c>
      <c r="BK14" s="134">
        <v>311</v>
      </c>
      <c r="BL14" s="134">
        <v>1088.445683802134</v>
      </c>
      <c r="BM14" s="134">
        <v>13911.554316197866</v>
      </c>
      <c r="BN14" s="133"/>
      <c r="BO14" s="133"/>
      <c r="BP14" s="133"/>
      <c r="BQ14" s="134">
        <v>15000</v>
      </c>
      <c r="BR14" s="135">
        <v>8.5992793393067202E-2</v>
      </c>
      <c r="BS14" s="136">
        <v>612.38199999999995</v>
      </c>
      <c r="BT14" s="136">
        <v>584.38200000000006</v>
      </c>
      <c r="BU14" s="136">
        <v>549.13099999999997</v>
      </c>
      <c r="BV14" s="136">
        <v>604.88200000000018</v>
      </c>
      <c r="BW14" s="137">
        <v>0</v>
      </c>
      <c r="BX14" s="137">
        <v>0</v>
      </c>
      <c r="BY14" s="138">
        <v>0</v>
      </c>
    </row>
    <row r="15" spans="1:77">
      <c r="A15" s="130">
        <v>14</v>
      </c>
      <c r="B15" s="131" t="s">
        <v>332</v>
      </c>
      <c r="C15" s="132" t="s">
        <v>333</v>
      </c>
      <c r="D15" s="132" t="s">
        <v>87</v>
      </c>
      <c r="E15" s="133">
        <v>5749.55</v>
      </c>
      <c r="F15" s="133">
        <v>1178.6722222222222</v>
      </c>
      <c r="G15" s="134">
        <v>3616</v>
      </c>
      <c r="H15" s="134">
        <v>25095</v>
      </c>
      <c r="I15" s="134">
        <v>9273</v>
      </c>
      <c r="J15" s="134">
        <v>19845</v>
      </c>
      <c r="K15" s="134">
        <v>57829</v>
      </c>
      <c r="L15" s="134">
        <v>54213</v>
      </c>
      <c r="M15" s="134">
        <v>37984</v>
      </c>
      <c r="N15" s="134">
        <v>1210</v>
      </c>
      <c r="O15" s="132">
        <v>3542.1222222222223</v>
      </c>
      <c r="P15" s="132">
        <v>3848.911111111111</v>
      </c>
      <c r="Q15" s="132">
        <v>3943.9055555555556</v>
      </c>
      <c r="R15" s="132">
        <v>4056.3111111111111</v>
      </c>
      <c r="S15" s="132">
        <v>4286.1888888888889</v>
      </c>
      <c r="T15" s="132">
        <v>4174.95</v>
      </c>
      <c r="U15" s="132">
        <v>4408.0222222222219</v>
      </c>
      <c r="V15" s="132">
        <v>4517.6055555555558</v>
      </c>
      <c r="W15" s="132">
        <v>4589.4555555555553</v>
      </c>
      <c r="X15" s="132">
        <v>4742.1444444444442</v>
      </c>
      <c r="Y15" s="132">
        <v>4983.9944444444445</v>
      </c>
      <c r="Z15" s="132">
        <v>4862.333333333333</v>
      </c>
      <c r="AA15" s="132">
        <v>4111.7555555555555</v>
      </c>
      <c r="AB15" s="132">
        <v>24718.288888888888</v>
      </c>
      <c r="AC15" s="132">
        <v>9107.0611111111102</v>
      </c>
      <c r="AD15" s="132">
        <v>18700.227777777778</v>
      </c>
      <c r="AE15" s="132">
        <v>37367.472222222226</v>
      </c>
      <c r="AF15" s="132">
        <v>52525.577777777769</v>
      </c>
      <c r="AG15" s="132">
        <v>56067.7</v>
      </c>
      <c r="AH15" s="133">
        <v>6044.1277777777777</v>
      </c>
      <c r="AI15" s="133">
        <v>1239.338888888889</v>
      </c>
      <c r="AJ15" s="133">
        <v>7283.4666666666672</v>
      </c>
      <c r="AK15" s="134">
        <v>3191</v>
      </c>
      <c r="AL15" s="139">
        <v>3789</v>
      </c>
      <c r="AM15" s="132">
        <v>4001</v>
      </c>
      <c r="AN15" s="132">
        <v>4121</v>
      </c>
      <c r="AO15" s="132">
        <v>4226</v>
      </c>
      <c r="AP15" s="132">
        <v>4458</v>
      </c>
      <c r="AQ15" s="132">
        <v>4344</v>
      </c>
      <c r="AR15" s="132">
        <v>4640</v>
      </c>
      <c r="AS15" s="132">
        <v>4667</v>
      </c>
      <c r="AT15" s="132">
        <v>4597</v>
      </c>
      <c r="AU15" s="132">
        <v>5193</v>
      </c>
      <c r="AV15" s="132">
        <v>5132</v>
      </c>
      <c r="AW15" s="132">
        <v>5077</v>
      </c>
      <c r="AX15" s="132">
        <v>24939</v>
      </c>
      <c r="AY15" s="132">
        <v>9307</v>
      </c>
      <c r="AZ15" s="132">
        <v>19999</v>
      </c>
      <c r="BA15" s="132">
        <v>37437</v>
      </c>
      <c r="BB15" s="132">
        <v>54245</v>
      </c>
      <c r="BC15" s="132">
        <v>57436</v>
      </c>
      <c r="BD15" s="132">
        <v>1590</v>
      </c>
      <c r="BE15" s="132">
        <v>1601</v>
      </c>
      <c r="BF15" s="132">
        <v>31</v>
      </c>
      <c r="BG15" s="132">
        <v>13566</v>
      </c>
      <c r="BH15" s="132">
        <v>6127</v>
      </c>
      <c r="BI15" s="134">
        <v>1289</v>
      </c>
      <c r="BJ15" s="134">
        <v>7416</v>
      </c>
      <c r="BK15" s="134">
        <v>5035</v>
      </c>
      <c r="BL15" s="134">
        <v>3498.5512367491169</v>
      </c>
      <c r="BM15" s="134">
        <v>53501.448763250883</v>
      </c>
      <c r="BN15" s="133"/>
      <c r="BO15" s="133"/>
      <c r="BP15" s="133"/>
      <c r="BQ15" s="134">
        <v>57000</v>
      </c>
      <c r="BR15" s="135">
        <v>8.3005126298126064E-2</v>
      </c>
      <c r="BS15" s="136">
        <v>3373.7270000000021</v>
      </c>
      <c r="BT15" s="136">
        <v>3196.4510000000023</v>
      </c>
      <c r="BU15" s="136">
        <v>2888.9867000000008</v>
      </c>
      <c r="BV15" s="136">
        <v>3310.1370000000056</v>
      </c>
      <c r="BW15" s="137">
        <v>0</v>
      </c>
      <c r="BX15" s="137">
        <v>302</v>
      </c>
      <c r="BY15" s="138">
        <v>1704.6722219999999</v>
      </c>
    </row>
    <row r="16" spans="1:77">
      <c r="A16" s="130">
        <v>15</v>
      </c>
      <c r="B16" s="131" t="s">
        <v>334</v>
      </c>
      <c r="C16" s="132" t="s">
        <v>335</v>
      </c>
      <c r="D16" s="132" t="s">
        <v>87</v>
      </c>
      <c r="E16" s="133">
        <v>278.25</v>
      </c>
      <c r="F16" s="133">
        <v>47.083333333333336</v>
      </c>
      <c r="G16" s="134">
        <v>177</v>
      </c>
      <c r="H16" s="134">
        <v>1207</v>
      </c>
      <c r="I16" s="134">
        <v>431</v>
      </c>
      <c r="J16" s="134">
        <v>890</v>
      </c>
      <c r="K16" s="134">
        <v>2705</v>
      </c>
      <c r="L16" s="134">
        <v>2528</v>
      </c>
      <c r="M16" s="134">
        <v>1815</v>
      </c>
      <c r="N16" s="134">
        <v>36</v>
      </c>
      <c r="O16" s="132">
        <v>176.23888888888888</v>
      </c>
      <c r="P16" s="132">
        <v>203.92777777777778</v>
      </c>
      <c r="Q16" s="132">
        <v>185.36666666666667</v>
      </c>
      <c r="R16" s="132">
        <v>204.97777777777779</v>
      </c>
      <c r="S16" s="132">
        <v>180.70555555555555</v>
      </c>
      <c r="T16" s="132">
        <v>217.07777777777778</v>
      </c>
      <c r="U16" s="132">
        <v>208.63888888888889</v>
      </c>
      <c r="V16" s="132">
        <v>204.57777777777778</v>
      </c>
      <c r="W16" s="132">
        <v>216.99444444444444</v>
      </c>
      <c r="X16" s="132">
        <v>231.51666666666668</v>
      </c>
      <c r="Y16" s="132">
        <v>223.72777777777779</v>
      </c>
      <c r="Z16" s="132">
        <v>220.11111111111111</v>
      </c>
      <c r="AA16" s="132">
        <v>112.15555555555555</v>
      </c>
      <c r="AB16" s="132">
        <v>1200.6944444444443</v>
      </c>
      <c r="AC16" s="132">
        <v>421.57222222222219</v>
      </c>
      <c r="AD16" s="132">
        <v>787.51111111111118</v>
      </c>
      <c r="AE16" s="132">
        <v>1798.5055555555555</v>
      </c>
      <c r="AF16" s="132">
        <v>2409.7777777777778</v>
      </c>
      <c r="AG16" s="132">
        <v>2586.0166666666669</v>
      </c>
      <c r="AH16" s="133">
        <v>294.32777777777778</v>
      </c>
      <c r="AI16" s="133">
        <v>37.06666666666667</v>
      </c>
      <c r="AJ16" s="133">
        <v>331.39444444444445</v>
      </c>
      <c r="AK16" s="134">
        <v>192</v>
      </c>
      <c r="AL16" s="139">
        <v>180</v>
      </c>
      <c r="AM16" s="132">
        <v>203</v>
      </c>
      <c r="AN16" s="132">
        <v>186</v>
      </c>
      <c r="AO16" s="132">
        <v>204</v>
      </c>
      <c r="AP16" s="132">
        <v>185</v>
      </c>
      <c r="AQ16" s="132">
        <v>228</v>
      </c>
      <c r="AR16" s="132">
        <v>207</v>
      </c>
      <c r="AS16" s="132">
        <v>213</v>
      </c>
      <c r="AT16" s="132">
        <v>228</v>
      </c>
      <c r="AU16" s="132">
        <v>235</v>
      </c>
      <c r="AV16" s="132">
        <v>211</v>
      </c>
      <c r="AW16" s="132">
        <v>214</v>
      </c>
      <c r="AX16" s="132">
        <v>1186</v>
      </c>
      <c r="AY16" s="132">
        <v>420</v>
      </c>
      <c r="AZ16" s="132">
        <v>888</v>
      </c>
      <c r="BA16" s="132">
        <v>1798</v>
      </c>
      <c r="BB16" s="132">
        <v>2494</v>
      </c>
      <c r="BC16" s="132">
        <v>2686</v>
      </c>
      <c r="BD16" s="132">
        <v>184</v>
      </c>
      <c r="BE16" s="132">
        <v>8</v>
      </c>
      <c r="BF16" s="132">
        <v>0</v>
      </c>
      <c r="BG16" s="132">
        <v>682</v>
      </c>
      <c r="BH16" s="132">
        <v>295</v>
      </c>
      <c r="BI16" s="134">
        <v>32</v>
      </c>
      <c r="BJ16" s="134">
        <v>327</v>
      </c>
      <c r="BK16" s="134">
        <v>0</v>
      </c>
      <c r="BL16" s="134">
        <v>192.99999999999997</v>
      </c>
      <c r="BM16" s="134">
        <v>2470</v>
      </c>
      <c r="BN16" s="133"/>
      <c r="BO16" s="133"/>
      <c r="BP16" s="133"/>
      <c r="BQ16" s="134">
        <v>2663</v>
      </c>
      <c r="BR16" s="135">
        <v>7.8334678229308563E-2</v>
      </c>
      <c r="BS16" s="136">
        <v>151.87299999999999</v>
      </c>
      <c r="BT16" s="136">
        <v>144.87300000000002</v>
      </c>
      <c r="BU16" s="136">
        <v>139.71000000000004</v>
      </c>
      <c r="BV16" s="136">
        <v>151.97299999999998</v>
      </c>
      <c r="BW16" s="137">
        <v>0</v>
      </c>
      <c r="BX16" s="137">
        <v>0</v>
      </c>
      <c r="BY16" s="138">
        <v>0</v>
      </c>
    </row>
    <row r="17" spans="1:77">
      <c r="A17" s="130">
        <v>16</v>
      </c>
      <c r="B17" s="131" t="s">
        <v>336</v>
      </c>
      <c r="C17" s="132" t="s">
        <v>337</v>
      </c>
      <c r="D17" s="132" t="s">
        <v>87</v>
      </c>
      <c r="E17" s="133">
        <v>143.18333333333334</v>
      </c>
      <c r="F17" s="133">
        <v>17.677777777777777</v>
      </c>
      <c r="G17" s="134">
        <v>106</v>
      </c>
      <c r="H17" s="134">
        <v>637</v>
      </c>
      <c r="I17" s="134">
        <v>241</v>
      </c>
      <c r="J17" s="134">
        <v>440</v>
      </c>
      <c r="K17" s="134">
        <v>1424</v>
      </c>
      <c r="L17" s="134">
        <v>1318</v>
      </c>
      <c r="M17" s="134">
        <v>984</v>
      </c>
      <c r="N17" s="134">
        <v>19</v>
      </c>
      <c r="O17" s="132">
        <v>102.81111111111112</v>
      </c>
      <c r="P17" s="132">
        <v>126.23888888888889</v>
      </c>
      <c r="Q17" s="132">
        <v>90.38333333333334</v>
      </c>
      <c r="R17" s="132">
        <v>112.76111111111111</v>
      </c>
      <c r="S17" s="132">
        <v>101.36666666666666</v>
      </c>
      <c r="T17" s="132">
        <v>107.41666666666667</v>
      </c>
      <c r="U17" s="132">
        <v>95.177777777777777</v>
      </c>
      <c r="V17" s="132">
        <v>111.11666666666666</v>
      </c>
      <c r="W17" s="132">
        <v>123.45555555555555</v>
      </c>
      <c r="X17" s="132">
        <v>117.44444444444444</v>
      </c>
      <c r="Y17" s="132">
        <v>110.26111111111111</v>
      </c>
      <c r="Z17" s="132">
        <v>102.27777777777777</v>
      </c>
      <c r="AA17" s="132">
        <v>99.388888888888886</v>
      </c>
      <c r="AB17" s="132">
        <v>633.34444444444443</v>
      </c>
      <c r="AC17" s="132">
        <v>234.57222222222219</v>
      </c>
      <c r="AD17" s="132">
        <v>429.37222222222226</v>
      </c>
      <c r="AE17" s="132">
        <v>970.72777777777776</v>
      </c>
      <c r="AF17" s="132">
        <v>1297.288888888889</v>
      </c>
      <c r="AG17" s="132">
        <v>1400.1000000000001</v>
      </c>
      <c r="AH17" s="133">
        <v>152.30555555555554</v>
      </c>
      <c r="AI17" s="133">
        <v>17.866666666666667</v>
      </c>
      <c r="AJ17" s="133">
        <v>170.17222222222222</v>
      </c>
      <c r="AK17" s="134">
        <v>100</v>
      </c>
      <c r="AL17" s="139">
        <v>102</v>
      </c>
      <c r="AM17" s="132">
        <v>129</v>
      </c>
      <c r="AN17" s="132">
        <v>97</v>
      </c>
      <c r="AO17" s="132">
        <v>120</v>
      </c>
      <c r="AP17" s="132">
        <v>102</v>
      </c>
      <c r="AQ17" s="132">
        <v>112</v>
      </c>
      <c r="AR17" s="132">
        <v>97</v>
      </c>
      <c r="AS17" s="132">
        <v>111</v>
      </c>
      <c r="AT17" s="132">
        <v>123</v>
      </c>
      <c r="AU17" s="132">
        <v>121</v>
      </c>
      <c r="AV17" s="132">
        <v>112</v>
      </c>
      <c r="AW17" s="132">
        <v>100</v>
      </c>
      <c r="AX17" s="132">
        <v>662</v>
      </c>
      <c r="AY17" s="132">
        <v>208</v>
      </c>
      <c r="AZ17" s="132">
        <v>456</v>
      </c>
      <c r="BA17" s="132">
        <v>970</v>
      </c>
      <c r="BB17" s="132">
        <v>1326</v>
      </c>
      <c r="BC17" s="132">
        <v>1426</v>
      </c>
      <c r="BD17" s="132">
        <v>88</v>
      </c>
      <c r="BE17" s="132">
        <v>12</v>
      </c>
      <c r="BF17" s="132">
        <v>2</v>
      </c>
      <c r="BG17" s="132">
        <v>529</v>
      </c>
      <c r="BH17" s="132">
        <v>165</v>
      </c>
      <c r="BI17" s="134">
        <v>19</v>
      </c>
      <c r="BJ17" s="134">
        <v>184</v>
      </c>
      <c r="BK17" s="134">
        <v>20</v>
      </c>
      <c r="BL17" s="134">
        <v>100.00000000000001</v>
      </c>
      <c r="BM17" s="134">
        <v>1330</v>
      </c>
      <c r="BN17" s="133"/>
      <c r="BO17" s="133"/>
      <c r="BP17" s="133"/>
      <c r="BQ17" s="134">
        <v>1430</v>
      </c>
      <c r="BR17" s="135">
        <v>8.9502427184466105E-2</v>
      </c>
      <c r="BS17" s="136">
        <v>84.2</v>
      </c>
      <c r="BT17" s="136">
        <v>79.900000000000006</v>
      </c>
      <c r="BU17" s="136">
        <v>76.300000000000011</v>
      </c>
      <c r="BV17" s="136">
        <v>83.2</v>
      </c>
      <c r="BW17" s="137">
        <v>0</v>
      </c>
      <c r="BX17" s="137">
        <v>0</v>
      </c>
      <c r="BY17" s="138">
        <v>0</v>
      </c>
    </row>
    <row r="18" spans="1:77">
      <c r="A18" s="130">
        <v>17</v>
      </c>
      <c r="B18" s="131" t="s">
        <v>338</v>
      </c>
      <c r="C18" s="132" t="s">
        <v>339</v>
      </c>
      <c r="D18" s="132" t="s">
        <v>87</v>
      </c>
      <c r="E18" s="133">
        <v>413.47222222222223</v>
      </c>
      <c r="F18" s="133">
        <v>33.527777777777779</v>
      </c>
      <c r="G18" s="134">
        <v>222</v>
      </c>
      <c r="H18" s="134">
        <v>1428</v>
      </c>
      <c r="I18" s="134">
        <v>497</v>
      </c>
      <c r="J18" s="134">
        <v>973</v>
      </c>
      <c r="K18" s="134">
        <v>3120</v>
      </c>
      <c r="L18" s="134">
        <v>2898</v>
      </c>
      <c r="M18" s="134">
        <v>2147</v>
      </c>
      <c r="N18" s="134">
        <v>36</v>
      </c>
      <c r="O18" s="132">
        <v>223.07777777777778</v>
      </c>
      <c r="P18" s="132">
        <v>245.72777777777779</v>
      </c>
      <c r="Q18" s="132">
        <v>225.03333333333333</v>
      </c>
      <c r="R18" s="132">
        <v>241.57777777777778</v>
      </c>
      <c r="S18" s="132">
        <v>237.9388888888889</v>
      </c>
      <c r="T18" s="132">
        <v>226.57777777777778</v>
      </c>
      <c r="U18" s="132">
        <v>226.60555555555555</v>
      </c>
      <c r="V18" s="132">
        <v>231.8111111111111</v>
      </c>
      <c r="W18" s="132">
        <v>253.35555555555555</v>
      </c>
      <c r="X18" s="132">
        <v>272.2</v>
      </c>
      <c r="Y18" s="132">
        <v>220.37777777777777</v>
      </c>
      <c r="Z18" s="132">
        <v>245.28333333333333</v>
      </c>
      <c r="AA18" s="132">
        <v>210.07222222222222</v>
      </c>
      <c r="AB18" s="132">
        <v>1403.4611111111112</v>
      </c>
      <c r="AC18" s="132">
        <v>485.16666666666663</v>
      </c>
      <c r="AD18" s="132">
        <v>947.93333333333328</v>
      </c>
      <c r="AE18" s="132">
        <v>2111.7055555555557</v>
      </c>
      <c r="AF18" s="132">
        <v>2836.5611111111111</v>
      </c>
      <c r="AG18" s="132">
        <v>3059.6388888888887</v>
      </c>
      <c r="AH18" s="133">
        <v>441.50555555555553</v>
      </c>
      <c r="AI18" s="133">
        <v>37.56111111111111</v>
      </c>
      <c r="AJ18" s="133">
        <v>479.06666666666666</v>
      </c>
      <c r="AK18" s="134">
        <v>212</v>
      </c>
      <c r="AL18" s="139">
        <v>229</v>
      </c>
      <c r="AM18" s="132">
        <v>246</v>
      </c>
      <c r="AN18" s="132">
        <v>228</v>
      </c>
      <c r="AO18" s="132">
        <v>247</v>
      </c>
      <c r="AP18" s="132">
        <v>242</v>
      </c>
      <c r="AQ18" s="132">
        <v>232</v>
      </c>
      <c r="AR18" s="132">
        <v>228</v>
      </c>
      <c r="AS18" s="132">
        <v>230</v>
      </c>
      <c r="AT18" s="132">
        <v>266</v>
      </c>
      <c r="AU18" s="132">
        <v>282</v>
      </c>
      <c r="AV18" s="132">
        <v>221</v>
      </c>
      <c r="AW18" s="132">
        <v>246</v>
      </c>
      <c r="AX18" s="132">
        <v>1424</v>
      </c>
      <c r="AY18" s="132">
        <v>458</v>
      </c>
      <c r="AZ18" s="132">
        <v>1015</v>
      </c>
      <c r="BA18" s="132">
        <v>2094</v>
      </c>
      <c r="BB18" s="132">
        <v>2897</v>
      </c>
      <c r="BC18" s="132">
        <v>3109</v>
      </c>
      <c r="BD18" s="132">
        <v>203</v>
      </c>
      <c r="BE18" s="132">
        <v>9</v>
      </c>
      <c r="BF18" s="132">
        <v>0</v>
      </c>
      <c r="BG18" s="132">
        <v>1439</v>
      </c>
      <c r="BH18" s="132">
        <v>454</v>
      </c>
      <c r="BI18" s="134">
        <v>37</v>
      </c>
      <c r="BJ18" s="134">
        <v>491</v>
      </c>
      <c r="BK18" s="134">
        <v>228</v>
      </c>
      <c r="BL18" s="134">
        <v>208.99999999999997</v>
      </c>
      <c r="BM18" s="134">
        <v>2861</v>
      </c>
      <c r="BN18" s="133"/>
      <c r="BO18" s="133"/>
      <c r="BP18" s="133"/>
      <c r="BQ18" s="134">
        <v>3070</v>
      </c>
      <c r="BR18" s="135">
        <v>8.766580727629214E-2</v>
      </c>
      <c r="BS18" s="136">
        <v>188.232</v>
      </c>
      <c r="BT18" s="136">
        <v>178.24200000000002</v>
      </c>
      <c r="BU18" s="136">
        <v>172.31799999999998</v>
      </c>
      <c r="BV18" s="136">
        <v>189.51199999999997</v>
      </c>
      <c r="BW18" s="137">
        <v>0</v>
      </c>
      <c r="BX18" s="137">
        <v>0</v>
      </c>
      <c r="BY18" s="138">
        <v>0</v>
      </c>
    </row>
    <row r="19" spans="1:77">
      <c r="A19" s="130">
        <v>18</v>
      </c>
      <c r="B19" s="131" t="s">
        <v>340</v>
      </c>
      <c r="C19" s="132" t="s">
        <v>341</v>
      </c>
      <c r="D19" s="132" t="s">
        <v>87</v>
      </c>
      <c r="E19" s="133">
        <v>328.44444444444446</v>
      </c>
      <c r="F19" s="133">
        <v>27.216666666666665</v>
      </c>
      <c r="G19" s="134">
        <v>167</v>
      </c>
      <c r="H19" s="134">
        <v>1414</v>
      </c>
      <c r="I19" s="134">
        <v>561</v>
      </c>
      <c r="J19" s="134">
        <v>1148</v>
      </c>
      <c r="K19" s="134">
        <v>3290</v>
      </c>
      <c r="L19" s="134">
        <v>3123</v>
      </c>
      <c r="M19" s="134">
        <v>2142</v>
      </c>
      <c r="N19" s="134">
        <v>27</v>
      </c>
      <c r="O19" s="132">
        <v>169</v>
      </c>
      <c r="P19" s="132">
        <v>212.91666666666666</v>
      </c>
      <c r="Q19" s="132">
        <v>225.1</v>
      </c>
      <c r="R19" s="132">
        <v>209.85555555555555</v>
      </c>
      <c r="S19" s="132">
        <v>251.07777777777778</v>
      </c>
      <c r="T19" s="132">
        <v>242.61111111111111</v>
      </c>
      <c r="U19" s="132">
        <v>260.58333333333331</v>
      </c>
      <c r="V19" s="132">
        <v>260.07222222222219</v>
      </c>
      <c r="W19" s="132">
        <v>291.09444444444443</v>
      </c>
      <c r="X19" s="132">
        <v>278.05555555555554</v>
      </c>
      <c r="Y19" s="132">
        <v>299.52222222222224</v>
      </c>
      <c r="Z19" s="132">
        <v>275.76666666666665</v>
      </c>
      <c r="AA19" s="132">
        <v>270.05555555555554</v>
      </c>
      <c r="AB19" s="132">
        <v>1402.1444444444444</v>
      </c>
      <c r="AC19" s="132">
        <v>551.16666666666663</v>
      </c>
      <c r="AD19" s="132">
        <v>1123.4000000000001</v>
      </c>
      <c r="AE19" s="132">
        <v>2122.3111111111111</v>
      </c>
      <c r="AF19" s="132">
        <v>3076.7111111111117</v>
      </c>
      <c r="AG19" s="132">
        <v>3245.7111111111117</v>
      </c>
      <c r="AH19" s="133">
        <v>336.43888888888887</v>
      </c>
      <c r="AI19" s="133">
        <v>31.016666666666666</v>
      </c>
      <c r="AJ19" s="133">
        <v>367.45555555555552</v>
      </c>
      <c r="AK19" s="134">
        <v>195</v>
      </c>
      <c r="AL19" s="139">
        <v>169</v>
      </c>
      <c r="AM19" s="132">
        <v>212</v>
      </c>
      <c r="AN19" s="132">
        <v>228</v>
      </c>
      <c r="AO19" s="132">
        <v>211</v>
      </c>
      <c r="AP19" s="132">
        <v>255</v>
      </c>
      <c r="AQ19" s="132">
        <v>240</v>
      </c>
      <c r="AR19" s="132">
        <v>261</v>
      </c>
      <c r="AS19" s="132">
        <v>263</v>
      </c>
      <c r="AT19" s="132">
        <v>301</v>
      </c>
      <c r="AU19" s="132">
        <v>278</v>
      </c>
      <c r="AV19" s="132">
        <v>303</v>
      </c>
      <c r="AW19" s="132">
        <v>265</v>
      </c>
      <c r="AX19" s="132">
        <v>1315</v>
      </c>
      <c r="AY19" s="132">
        <v>524</v>
      </c>
      <c r="AZ19" s="132">
        <v>1147</v>
      </c>
      <c r="BA19" s="132">
        <v>2034</v>
      </c>
      <c r="BB19" s="132">
        <v>2986</v>
      </c>
      <c r="BC19" s="132">
        <v>3181</v>
      </c>
      <c r="BD19" s="132">
        <v>188</v>
      </c>
      <c r="BE19" s="132">
        <v>7</v>
      </c>
      <c r="BF19" s="132">
        <v>0</v>
      </c>
      <c r="BG19" s="132">
        <v>325</v>
      </c>
      <c r="BH19" s="132">
        <v>332</v>
      </c>
      <c r="BI19" s="134">
        <v>32</v>
      </c>
      <c r="BJ19" s="134">
        <v>364</v>
      </c>
      <c r="BK19" s="134">
        <v>0</v>
      </c>
      <c r="BL19" s="134">
        <v>188</v>
      </c>
      <c r="BM19" s="134">
        <v>2887</v>
      </c>
      <c r="BN19" s="133"/>
      <c r="BO19" s="133"/>
      <c r="BP19" s="133"/>
      <c r="BQ19" s="134">
        <v>3075</v>
      </c>
      <c r="BR19" s="135">
        <v>8.3458194345709891E-2</v>
      </c>
      <c r="BS19" s="136">
        <v>196.64</v>
      </c>
      <c r="BT19" s="136">
        <v>187.64</v>
      </c>
      <c r="BU19" s="136">
        <v>182.56</v>
      </c>
      <c r="BV19" s="136">
        <v>195.15999999999988</v>
      </c>
      <c r="BW19" s="137">
        <v>0</v>
      </c>
      <c r="BX19" s="137">
        <v>0</v>
      </c>
      <c r="BY19" s="138">
        <v>47.016666000000001</v>
      </c>
    </row>
    <row r="20" spans="1:77">
      <c r="A20" s="130">
        <v>19</v>
      </c>
      <c r="B20" s="131" t="s">
        <v>342</v>
      </c>
      <c r="C20" s="132" t="s">
        <v>343</v>
      </c>
      <c r="D20" s="132" t="s">
        <v>87</v>
      </c>
      <c r="E20" s="133">
        <v>3635.838888888889</v>
      </c>
      <c r="F20" s="133">
        <v>823.62222222222226</v>
      </c>
      <c r="G20" s="134">
        <v>2561</v>
      </c>
      <c r="H20" s="134">
        <v>16322</v>
      </c>
      <c r="I20" s="134">
        <v>5638</v>
      </c>
      <c r="J20" s="134">
        <v>11708</v>
      </c>
      <c r="K20" s="134">
        <v>36229</v>
      </c>
      <c r="L20" s="134">
        <v>33668</v>
      </c>
      <c r="M20" s="134">
        <v>24521</v>
      </c>
      <c r="N20" s="134">
        <v>838</v>
      </c>
      <c r="O20" s="132">
        <v>2499.3166666666666</v>
      </c>
      <c r="P20" s="132">
        <v>2628.5333333333333</v>
      </c>
      <c r="Q20" s="132">
        <v>2667.2111111111112</v>
      </c>
      <c r="R20" s="132">
        <v>2646.6722222222224</v>
      </c>
      <c r="S20" s="132">
        <v>2669.65</v>
      </c>
      <c r="T20" s="132">
        <v>2671.05</v>
      </c>
      <c r="U20" s="132">
        <v>2822.5222222222224</v>
      </c>
      <c r="V20" s="132">
        <v>2700.9555555555557</v>
      </c>
      <c r="W20" s="132">
        <v>2831.8722222222223</v>
      </c>
      <c r="X20" s="132">
        <v>2926.8166666666666</v>
      </c>
      <c r="Y20" s="132">
        <v>2915.1555555555556</v>
      </c>
      <c r="Z20" s="132">
        <v>2754.35</v>
      </c>
      <c r="AA20" s="132">
        <v>2408.1055555555554</v>
      </c>
      <c r="AB20" s="132">
        <v>16105.638888888891</v>
      </c>
      <c r="AC20" s="132">
        <v>5532.8277777777785</v>
      </c>
      <c r="AD20" s="132">
        <v>11004.427777777779</v>
      </c>
      <c r="AE20" s="132">
        <v>24137.783333333333</v>
      </c>
      <c r="AF20" s="132">
        <v>32642.894444444442</v>
      </c>
      <c r="AG20" s="132">
        <v>35142.211111111108</v>
      </c>
      <c r="AH20" s="133">
        <v>3827.9333333333334</v>
      </c>
      <c r="AI20" s="133">
        <v>836.05</v>
      </c>
      <c r="AJ20" s="133">
        <v>4663.9833333333336</v>
      </c>
      <c r="AK20" s="134">
        <v>3114</v>
      </c>
      <c r="AL20" s="139">
        <v>3279</v>
      </c>
      <c r="AM20" s="132">
        <v>3426</v>
      </c>
      <c r="AN20" s="132">
        <v>3450</v>
      </c>
      <c r="AO20" s="132">
        <v>3447</v>
      </c>
      <c r="AP20" s="132">
        <v>3411</v>
      </c>
      <c r="AQ20" s="132">
        <v>3454</v>
      </c>
      <c r="AR20" s="132">
        <v>3536</v>
      </c>
      <c r="AS20" s="132">
        <v>3329</v>
      </c>
      <c r="AT20" s="132">
        <v>3376</v>
      </c>
      <c r="AU20" s="132">
        <v>3413</v>
      </c>
      <c r="AV20" s="132">
        <v>3323</v>
      </c>
      <c r="AW20" s="132">
        <v>3114</v>
      </c>
      <c r="AX20" s="132">
        <v>20467</v>
      </c>
      <c r="AY20" s="132">
        <v>6865</v>
      </c>
      <c r="AZ20" s="132">
        <v>13226</v>
      </c>
      <c r="BA20" s="132">
        <v>30446</v>
      </c>
      <c r="BB20" s="132">
        <v>40558</v>
      </c>
      <c r="BC20" s="132">
        <v>43672</v>
      </c>
      <c r="BD20" s="132">
        <v>1655</v>
      </c>
      <c r="BE20" s="132">
        <v>1459</v>
      </c>
      <c r="BF20" s="132">
        <v>14</v>
      </c>
      <c r="BG20" s="132">
        <v>10187</v>
      </c>
      <c r="BH20" s="132">
        <v>4300</v>
      </c>
      <c r="BI20" s="134">
        <v>833</v>
      </c>
      <c r="BJ20" s="134">
        <v>5133</v>
      </c>
      <c r="BK20" s="134">
        <v>1459</v>
      </c>
      <c r="BL20" s="134">
        <v>3210.0558659217882</v>
      </c>
      <c r="BM20" s="134">
        <v>40989.944134078214</v>
      </c>
      <c r="BN20" s="133"/>
      <c r="BO20" s="133"/>
      <c r="BP20" s="133"/>
      <c r="BQ20" s="134">
        <v>44200</v>
      </c>
      <c r="BR20" s="135">
        <v>8.8001981129798679E-2</v>
      </c>
      <c r="BS20" s="136">
        <v>2015.5030000000006</v>
      </c>
      <c r="BT20" s="136">
        <v>1946.5030000000006</v>
      </c>
      <c r="BU20" s="136">
        <v>1774.4265000000005</v>
      </c>
      <c r="BV20" s="136">
        <v>1957.2279999999996</v>
      </c>
      <c r="BW20" s="137">
        <v>0</v>
      </c>
      <c r="BX20" s="137">
        <v>6040</v>
      </c>
      <c r="BY20" s="138">
        <v>2271.638888</v>
      </c>
    </row>
    <row r="21" spans="1:77">
      <c r="A21" s="130">
        <v>20</v>
      </c>
      <c r="B21" s="131" t="s">
        <v>344</v>
      </c>
      <c r="C21" s="132" t="s">
        <v>345</v>
      </c>
      <c r="D21" s="132" t="s">
        <v>87</v>
      </c>
      <c r="E21" s="133">
        <v>289.21111111111111</v>
      </c>
      <c r="F21" s="133">
        <v>31.933333333333334</v>
      </c>
      <c r="G21" s="134">
        <v>179</v>
      </c>
      <c r="H21" s="134">
        <v>1077</v>
      </c>
      <c r="I21" s="134">
        <v>429</v>
      </c>
      <c r="J21" s="134">
        <v>849</v>
      </c>
      <c r="K21" s="134">
        <v>2534</v>
      </c>
      <c r="L21" s="134">
        <v>2355</v>
      </c>
      <c r="M21" s="134">
        <v>1685</v>
      </c>
      <c r="N21" s="134">
        <v>36</v>
      </c>
      <c r="O21" s="132">
        <v>177.92777777777778</v>
      </c>
      <c r="P21" s="132">
        <v>166.76111111111112</v>
      </c>
      <c r="Q21" s="132">
        <v>175.51666666666668</v>
      </c>
      <c r="R21" s="132">
        <v>171.3388888888889</v>
      </c>
      <c r="S21" s="132">
        <v>184.03888888888889</v>
      </c>
      <c r="T21" s="132">
        <v>192.40555555555557</v>
      </c>
      <c r="U21" s="132">
        <v>169.49444444444444</v>
      </c>
      <c r="V21" s="132">
        <v>202.49444444444444</v>
      </c>
      <c r="W21" s="132">
        <v>209.86111111111111</v>
      </c>
      <c r="X21" s="132">
        <v>215.40555555555557</v>
      </c>
      <c r="Y21" s="132">
        <v>200.3388888888889</v>
      </c>
      <c r="Z21" s="132">
        <v>205.53888888888889</v>
      </c>
      <c r="AA21" s="132">
        <v>182.14444444444445</v>
      </c>
      <c r="AB21" s="132">
        <v>1059.5555555555557</v>
      </c>
      <c r="AC21" s="132">
        <v>412.35555555555555</v>
      </c>
      <c r="AD21" s="132">
        <v>803.42777777777769</v>
      </c>
      <c r="AE21" s="132">
        <v>1649.8388888888892</v>
      </c>
      <c r="AF21" s="132">
        <v>2275.3388888888894</v>
      </c>
      <c r="AG21" s="132">
        <v>2453.2666666666669</v>
      </c>
      <c r="AH21" s="133">
        <v>317.69444444444446</v>
      </c>
      <c r="AI21" s="133">
        <v>38.87222222222222</v>
      </c>
      <c r="AJ21" s="133">
        <v>356.56666666666666</v>
      </c>
      <c r="AK21" s="134">
        <v>172</v>
      </c>
      <c r="AL21" s="139">
        <v>190</v>
      </c>
      <c r="AM21" s="132">
        <v>161</v>
      </c>
      <c r="AN21" s="132">
        <v>179</v>
      </c>
      <c r="AO21" s="132">
        <v>180</v>
      </c>
      <c r="AP21" s="132">
        <v>180</v>
      </c>
      <c r="AQ21" s="132">
        <v>190</v>
      </c>
      <c r="AR21" s="132">
        <v>168</v>
      </c>
      <c r="AS21" s="132">
        <v>206</v>
      </c>
      <c r="AT21" s="132">
        <v>234</v>
      </c>
      <c r="AU21" s="132">
        <v>224</v>
      </c>
      <c r="AV21" s="132">
        <v>202</v>
      </c>
      <c r="AW21" s="132">
        <v>187</v>
      </c>
      <c r="AX21" s="132">
        <v>1080</v>
      </c>
      <c r="AY21" s="132">
        <v>374</v>
      </c>
      <c r="AZ21" s="132">
        <v>847</v>
      </c>
      <c r="BA21" s="132">
        <v>1626</v>
      </c>
      <c r="BB21" s="132">
        <v>2301</v>
      </c>
      <c r="BC21" s="132">
        <v>2473</v>
      </c>
      <c r="BD21" s="132">
        <v>165</v>
      </c>
      <c r="BE21" s="132">
        <v>7</v>
      </c>
      <c r="BF21" s="132">
        <v>3</v>
      </c>
      <c r="BG21" s="132">
        <v>1373</v>
      </c>
      <c r="BH21" s="132">
        <v>322</v>
      </c>
      <c r="BI21" s="134">
        <v>34</v>
      </c>
      <c r="BJ21" s="134">
        <v>356</v>
      </c>
      <c r="BK21" s="134">
        <v>152</v>
      </c>
      <c r="BL21" s="134">
        <v>169.87483815278378</v>
      </c>
      <c r="BM21" s="134">
        <v>2230.1251618472161</v>
      </c>
      <c r="BN21" s="133"/>
      <c r="BO21" s="133"/>
      <c r="BP21" s="133"/>
      <c r="BQ21" s="134">
        <v>2400</v>
      </c>
      <c r="BR21" s="135">
        <v>9.2327646516911444E-2</v>
      </c>
      <c r="BS21" s="136">
        <v>152.44900000000004</v>
      </c>
      <c r="BT21" s="136">
        <v>144.44900000000001</v>
      </c>
      <c r="BU21" s="136">
        <v>138.44900000000004</v>
      </c>
      <c r="BV21" s="136">
        <v>159.69899999999998</v>
      </c>
      <c r="BW21" s="137">
        <v>0</v>
      </c>
      <c r="BX21" s="137">
        <v>0</v>
      </c>
      <c r="BY21" s="138">
        <v>0</v>
      </c>
    </row>
    <row r="22" spans="1:77">
      <c r="A22" s="130">
        <v>21</v>
      </c>
      <c r="B22" s="131" t="s">
        <v>346</v>
      </c>
      <c r="C22" s="132" t="s">
        <v>347</v>
      </c>
      <c r="D22" s="132" t="s">
        <v>87</v>
      </c>
      <c r="E22" s="133">
        <v>126.16666666666667</v>
      </c>
      <c r="F22" s="133">
        <v>10.783333333333333</v>
      </c>
      <c r="G22" s="134">
        <v>72</v>
      </c>
      <c r="H22" s="134">
        <v>445</v>
      </c>
      <c r="I22" s="134">
        <v>182</v>
      </c>
      <c r="J22" s="134">
        <v>327</v>
      </c>
      <c r="K22" s="134">
        <v>1026</v>
      </c>
      <c r="L22" s="134">
        <v>954</v>
      </c>
      <c r="M22" s="134">
        <v>699</v>
      </c>
      <c r="N22" s="134">
        <v>11</v>
      </c>
      <c r="O22" s="132">
        <v>71.12222222222222</v>
      </c>
      <c r="P22" s="132">
        <v>63.261111111111113</v>
      </c>
      <c r="Q22" s="132">
        <v>79.405555555555551</v>
      </c>
      <c r="R22" s="132">
        <v>59.755555555555553</v>
      </c>
      <c r="S22" s="132">
        <v>89.188888888888883</v>
      </c>
      <c r="T22" s="132">
        <v>72.216666666666669</v>
      </c>
      <c r="U22" s="132">
        <v>82.033333333333331</v>
      </c>
      <c r="V22" s="132">
        <v>81.75555555555556</v>
      </c>
      <c r="W22" s="132">
        <v>98.283333333333331</v>
      </c>
      <c r="X22" s="132">
        <v>77.25</v>
      </c>
      <c r="Y22" s="132">
        <v>91.37777777777778</v>
      </c>
      <c r="Z22" s="132">
        <v>83.272222222222226</v>
      </c>
      <c r="AA22" s="132">
        <v>65.044444444444451</v>
      </c>
      <c r="AB22" s="132">
        <v>445.86111111111109</v>
      </c>
      <c r="AC22" s="132">
        <v>180.03888888888889</v>
      </c>
      <c r="AD22" s="132">
        <v>316.94444444444446</v>
      </c>
      <c r="AE22" s="132">
        <v>697.02222222222213</v>
      </c>
      <c r="AF22" s="132">
        <v>942.84444444444443</v>
      </c>
      <c r="AG22" s="132">
        <v>1013.9666666666666</v>
      </c>
      <c r="AH22" s="133">
        <v>139.97777777777779</v>
      </c>
      <c r="AI22" s="133">
        <v>11.427777777777777</v>
      </c>
      <c r="AJ22" s="133">
        <v>151.40555555555557</v>
      </c>
      <c r="AK22" s="134">
        <v>75</v>
      </c>
      <c r="AL22" s="139">
        <v>69</v>
      </c>
      <c r="AM22" s="132">
        <v>65</v>
      </c>
      <c r="AN22" s="132">
        <v>78</v>
      </c>
      <c r="AO22" s="132">
        <v>61</v>
      </c>
      <c r="AP22" s="132">
        <v>91</v>
      </c>
      <c r="AQ22" s="132">
        <v>74</v>
      </c>
      <c r="AR22" s="132">
        <v>83</v>
      </c>
      <c r="AS22" s="132">
        <v>87</v>
      </c>
      <c r="AT22" s="132">
        <v>103</v>
      </c>
      <c r="AU22" s="132">
        <v>77</v>
      </c>
      <c r="AV22" s="132">
        <v>96</v>
      </c>
      <c r="AW22" s="132">
        <v>84</v>
      </c>
      <c r="AX22" s="132">
        <v>438</v>
      </c>
      <c r="AY22" s="132">
        <v>170</v>
      </c>
      <c r="AZ22" s="132">
        <v>360</v>
      </c>
      <c r="BA22" s="132">
        <v>683</v>
      </c>
      <c r="BB22" s="132">
        <v>968</v>
      </c>
      <c r="BC22" s="132">
        <v>1043</v>
      </c>
      <c r="BD22" s="132">
        <v>72</v>
      </c>
      <c r="BE22" s="132">
        <v>3</v>
      </c>
      <c r="BF22" s="132">
        <v>1</v>
      </c>
      <c r="BG22" s="132">
        <v>235</v>
      </c>
      <c r="BH22" s="132">
        <v>158</v>
      </c>
      <c r="BI22" s="134">
        <v>11</v>
      </c>
      <c r="BJ22" s="134">
        <v>169</v>
      </c>
      <c r="BK22" s="134">
        <v>51</v>
      </c>
      <c r="BL22" s="134">
        <v>75</v>
      </c>
      <c r="BM22" s="134">
        <v>939</v>
      </c>
      <c r="BN22" s="133"/>
      <c r="BO22" s="133"/>
      <c r="BP22" s="133"/>
      <c r="BQ22" s="134">
        <v>1014</v>
      </c>
      <c r="BR22" s="135">
        <v>9.2406254524395437E-2</v>
      </c>
      <c r="BS22" s="136">
        <v>69.950000000000017</v>
      </c>
      <c r="BT22" s="136">
        <v>66.200000000000017</v>
      </c>
      <c r="BU22" s="136">
        <v>64.010000000000005</v>
      </c>
      <c r="BV22" s="136">
        <v>70.05</v>
      </c>
      <c r="BW22" s="137">
        <v>0</v>
      </c>
      <c r="BX22" s="137">
        <v>0</v>
      </c>
      <c r="BY22" s="138">
        <v>0</v>
      </c>
    </row>
    <row r="23" spans="1:77">
      <c r="A23" s="130">
        <v>22</v>
      </c>
      <c r="B23" s="131" t="s">
        <v>348</v>
      </c>
      <c r="C23" s="132" t="s">
        <v>349</v>
      </c>
      <c r="D23" s="132" t="s">
        <v>87</v>
      </c>
      <c r="E23" s="133">
        <v>300.74444444444447</v>
      </c>
      <c r="F23" s="133">
        <v>45.56111111111111</v>
      </c>
      <c r="G23" s="134">
        <v>212</v>
      </c>
      <c r="H23" s="134">
        <v>1784</v>
      </c>
      <c r="I23" s="134">
        <v>766</v>
      </c>
      <c r="J23" s="134">
        <v>1588</v>
      </c>
      <c r="K23" s="134">
        <v>4350</v>
      </c>
      <c r="L23" s="134">
        <v>4138</v>
      </c>
      <c r="M23" s="134">
        <v>2762</v>
      </c>
      <c r="N23" s="134">
        <v>42</v>
      </c>
      <c r="O23" s="132">
        <v>215.6</v>
      </c>
      <c r="P23" s="132">
        <v>264.9111111111111</v>
      </c>
      <c r="Q23" s="132">
        <v>261.16666666666669</v>
      </c>
      <c r="R23" s="132">
        <v>297.06111111111113</v>
      </c>
      <c r="S23" s="132">
        <v>300.18333333333334</v>
      </c>
      <c r="T23" s="132">
        <v>311.23888888888888</v>
      </c>
      <c r="U23" s="132">
        <v>337.61111111111109</v>
      </c>
      <c r="V23" s="132">
        <v>358.79444444444442</v>
      </c>
      <c r="W23" s="132">
        <v>387.89444444444445</v>
      </c>
      <c r="X23" s="132">
        <v>360.51111111111112</v>
      </c>
      <c r="Y23" s="132">
        <v>406.8</v>
      </c>
      <c r="Z23" s="132">
        <v>402.09444444444443</v>
      </c>
      <c r="AA23" s="132">
        <v>334.42777777777781</v>
      </c>
      <c r="AB23" s="132">
        <v>1772.1722222222222</v>
      </c>
      <c r="AC23" s="132">
        <v>746.68888888888887</v>
      </c>
      <c r="AD23" s="132">
        <v>1503.8333333333335</v>
      </c>
      <c r="AE23" s="132">
        <v>2734.4611111111112</v>
      </c>
      <c r="AF23" s="132">
        <v>4022.6944444444448</v>
      </c>
      <c r="AG23" s="132">
        <v>4238.2944444444447</v>
      </c>
      <c r="AH23" s="133">
        <v>331.11666666666667</v>
      </c>
      <c r="AI23" s="133">
        <v>49.961111111111109</v>
      </c>
      <c r="AJ23" s="133">
        <v>381.07777777777778</v>
      </c>
      <c r="AK23" s="134">
        <v>208</v>
      </c>
      <c r="AL23" s="139">
        <v>212</v>
      </c>
      <c r="AM23" s="132">
        <v>277</v>
      </c>
      <c r="AN23" s="132">
        <v>267</v>
      </c>
      <c r="AO23" s="132">
        <v>288</v>
      </c>
      <c r="AP23" s="132">
        <v>307</v>
      </c>
      <c r="AQ23" s="132">
        <v>340</v>
      </c>
      <c r="AR23" s="132">
        <v>357</v>
      </c>
      <c r="AS23" s="132">
        <v>376</v>
      </c>
      <c r="AT23" s="132">
        <v>395</v>
      </c>
      <c r="AU23" s="132">
        <v>382</v>
      </c>
      <c r="AV23" s="132">
        <v>411</v>
      </c>
      <c r="AW23" s="132">
        <v>426</v>
      </c>
      <c r="AX23" s="132">
        <v>1691</v>
      </c>
      <c r="AY23" s="132">
        <v>733</v>
      </c>
      <c r="AZ23" s="132">
        <v>1614</v>
      </c>
      <c r="BA23" s="132">
        <v>2632</v>
      </c>
      <c r="BB23" s="132">
        <v>4038</v>
      </c>
      <c r="BC23" s="132">
        <v>4246</v>
      </c>
      <c r="BD23" s="132">
        <v>208</v>
      </c>
      <c r="BE23" s="132">
        <v>0</v>
      </c>
      <c r="BF23" s="132">
        <v>3</v>
      </c>
      <c r="BG23" s="132">
        <v>792</v>
      </c>
      <c r="BH23" s="132">
        <v>352</v>
      </c>
      <c r="BI23" s="134">
        <v>44</v>
      </c>
      <c r="BJ23" s="134">
        <v>396</v>
      </c>
      <c r="BK23" s="134">
        <v>407</v>
      </c>
      <c r="BL23" s="134">
        <v>208</v>
      </c>
      <c r="BM23" s="134">
        <v>3918</v>
      </c>
      <c r="BN23" s="133"/>
      <c r="BO23" s="133"/>
      <c r="BP23" s="133"/>
      <c r="BQ23" s="134">
        <v>4126</v>
      </c>
      <c r="BR23" s="135">
        <v>0.10544518905089384</v>
      </c>
      <c r="BS23" s="136">
        <v>349.06700000000018</v>
      </c>
      <c r="BT23" s="136">
        <v>335.06700000000018</v>
      </c>
      <c r="BU23" s="136">
        <v>302.5150000000001</v>
      </c>
      <c r="BV23" s="136">
        <v>334.51500000000004</v>
      </c>
      <c r="BW23" s="137">
        <v>0</v>
      </c>
      <c r="BX23" s="137">
        <v>0</v>
      </c>
      <c r="BY23" s="138">
        <v>0</v>
      </c>
    </row>
    <row r="24" spans="1:77">
      <c r="A24" s="130">
        <v>23</v>
      </c>
      <c r="B24" s="131" t="s">
        <v>350</v>
      </c>
      <c r="C24" s="132" t="s">
        <v>351</v>
      </c>
      <c r="D24" s="132" t="s">
        <v>87</v>
      </c>
      <c r="E24" s="133">
        <v>43.038888888888891</v>
      </c>
      <c r="F24" s="133">
        <v>1</v>
      </c>
      <c r="G24" s="134">
        <v>9</v>
      </c>
      <c r="H24" s="134">
        <v>107</v>
      </c>
      <c r="I24" s="134">
        <v>33</v>
      </c>
      <c r="J24" s="134">
        <v>111</v>
      </c>
      <c r="K24" s="134">
        <v>260</v>
      </c>
      <c r="L24" s="134">
        <v>251</v>
      </c>
      <c r="M24" s="134">
        <v>149</v>
      </c>
      <c r="N24" s="134">
        <v>1</v>
      </c>
      <c r="O24" s="132">
        <v>9.7388888888888889</v>
      </c>
      <c r="P24" s="132">
        <v>15.9</v>
      </c>
      <c r="Q24" s="132">
        <v>21.844444444444445</v>
      </c>
      <c r="R24" s="132">
        <v>16.083333333333332</v>
      </c>
      <c r="S24" s="132">
        <v>15.666666666666666</v>
      </c>
      <c r="T24" s="132">
        <v>17.816666666666666</v>
      </c>
      <c r="U24" s="132">
        <v>22.511111111111113</v>
      </c>
      <c r="V24" s="132">
        <v>18.361111111111111</v>
      </c>
      <c r="W24" s="132">
        <v>15.116666666666667</v>
      </c>
      <c r="X24" s="132">
        <v>30.966666666666665</v>
      </c>
      <c r="Y24" s="132">
        <v>24.177777777777777</v>
      </c>
      <c r="Z24" s="132">
        <v>23.705555555555556</v>
      </c>
      <c r="AA24" s="132">
        <v>31.488888888888887</v>
      </c>
      <c r="AB24" s="132">
        <v>109.82222222222222</v>
      </c>
      <c r="AC24" s="132">
        <v>33.477777777777774</v>
      </c>
      <c r="AD24" s="132">
        <v>110.33888888888887</v>
      </c>
      <c r="AE24" s="132">
        <v>153.03888888888889</v>
      </c>
      <c r="AF24" s="132">
        <v>253.63888888888889</v>
      </c>
      <c r="AG24" s="132">
        <v>263.37777777777779</v>
      </c>
      <c r="AH24" s="133">
        <v>40.116666666666667</v>
      </c>
      <c r="AI24" s="133">
        <v>0.99444444444444446</v>
      </c>
      <c r="AJ24" s="133">
        <v>41.111111111111114</v>
      </c>
      <c r="AK24" s="134">
        <v>20</v>
      </c>
      <c r="AL24" s="139">
        <v>9</v>
      </c>
      <c r="AM24" s="132">
        <v>16</v>
      </c>
      <c r="AN24" s="132">
        <v>23</v>
      </c>
      <c r="AO24" s="132">
        <v>17</v>
      </c>
      <c r="AP24" s="132">
        <v>15</v>
      </c>
      <c r="AQ24" s="132">
        <v>18</v>
      </c>
      <c r="AR24" s="132">
        <v>29</v>
      </c>
      <c r="AS24" s="132">
        <v>21</v>
      </c>
      <c r="AT24" s="132">
        <v>16</v>
      </c>
      <c r="AU24" s="132">
        <v>31</v>
      </c>
      <c r="AV24" s="132">
        <v>23</v>
      </c>
      <c r="AW24" s="132">
        <v>24</v>
      </c>
      <c r="AX24" s="132">
        <v>98</v>
      </c>
      <c r="AY24" s="132">
        <v>50</v>
      </c>
      <c r="AZ24" s="132">
        <v>94</v>
      </c>
      <c r="BA24" s="132">
        <v>168</v>
      </c>
      <c r="BB24" s="132">
        <v>242</v>
      </c>
      <c r="BC24" s="132">
        <v>262</v>
      </c>
      <c r="BD24" s="132">
        <v>20</v>
      </c>
      <c r="BE24" s="132">
        <v>0</v>
      </c>
      <c r="BF24" s="132">
        <v>0</v>
      </c>
      <c r="BG24" s="132">
        <v>143</v>
      </c>
      <c r="BH24" s="132">
        <v>39</v>
      </c>
      <c r="BI24" s="134">
        <v>1</v>
      </c>
      <c r="BJ24" s="134">
        <v>40</v>
      </c>
      <c r="BK24" s="134">
        <v>28</v>
      </c>
      <c r="BL24" s="134">
        <v>19.759999999999998</v>
      </c>
      <c r="BM24" s="134">
        <v>240.24</v>
      </c>
      <c r="BN24" s="133"/>
      <c r="BO24" s="133"/>
      <c r="BP24" s="133"/>
      <c r="BQ24" s="134">
        <v>260</v>
      </c>
      <c r="BR24" s="135">
        <v>8.1578251742314867E-2</v>
      </c>
      <c r="BS24" s="136">
        <v>29.13</v>
      </c>
      <c r="BT24" s="136">
        <v>27.200000000000003</v>
      </c>
      <c r="BU24" s="136">
        <v>27.200000000000003</v>
      </c>
      <c r="BV24" s="136">
        <v>29.13</v>
      </c>
      <c r="BW24" s="137">
        <v>0</v>
      </c>
      <c r="BX24" s="137">
        <v>0</v>
      </c>
      <c r="BY24" s="138">
        <v>0</v>
      </c>
    </row>
    <row r="25" spans="1:77">
      <c r="A25" s="130">
        <v>24</v>
      </c>
      <c r="B25" s="131" t="s">
        <v>352</v>
      </c>
      <c r="C25" s="132" t="s">
        <v>353</v>
      </c>
      <c r="D25" s="132" t="s">
        <v>87</v>
      </c>
      <c r="E25" s="133">
        <v>85.12222222222222</v>
      </c>
      <c r="F25" s="133">
        <v>5.25</v>
      </c>
      <c r="G25" s="134">
        <v>39</v>
      </c>
      <c r="H25" s="134">
        <v>232</v>
      </c>
      <c r="I25" s="134">
        <v>84</v>
      </c>
      <c r="J25" s="134">
        <v>156</v>
      </c>
      <c r="K25" s="134">
        <v>511</v>
      </c>
      <c r="L25" s="134">
        <v>472</v>
      </c>
      <c r="M25" s="134">
        <v>355</v>
      </c>
      <c r="N25" s="134">
        <v>5</v>
      </c>
      <c r="O25" s="132">
        <v>39.144444444444446</v>
      </c>
      <c r="P25" s="132">
        <v>35.738888888888887</v>
      </c>
      <c r="Q25" s="132">
        <v>40.666666666666664</v>
      </c>
      <c r="R25" s="132">
        <v>41.244444444444447</v>
      </c>
      <c r="S25" s="132">
        <v>30.227777777777778</v>
      </c>
      <c r="T25" s="132">
        <v>41.6</v>
      </c>
      <c r="U25" s="132">
        <v>37.111111111111114</v>
      </c>
      <c r="V25" s="132">
        <v>40.25</v>
      </c>
      <c r="W25" s="132">
        <v>41.65</v>
      </c>
      <c r="X25" s="132">
        <v>34.327777777777776</v>
      </c>
      <c r="Y25" s="132">
        <v>40.983333333333334</v>
      </c>
      <c r="Z25" s="132">
        <v>42.105555555555554</v>
      </c>
      <c r="AA25" s="132">
        <v>24.638888888888889</v>
      </c>
      <c r="AB25" s="132">
        <v>226.5888888888889</v>
      </c>
      <c r="AC25" s="132">
        <v>81.900000000000006</v>
      </c>
      <c r="AD25" s="132">
        <v>142.05555555555554</v>
      </c>
      <c r="AE25" s="132">
        <v>347.63333333333333</v>
      </c>
      <c r="AF25" s="132">
        <v>450.54444444444448</v>
      </c>
      <c r="AG25" s="132">
        <v>489.68888888888893</v>
      </c>
      <c r="AH25" s="133">
        <v>81.061111111111117</v>
      </c>
      <c r="AI25" s="133">
        <v>11.811111111111112</v>
      </c>
      <c r="AJ25" s="133">
        <v>92.872222222222234</v>
      </c>
      <c r="AK25" s="134">
        <v>30</v>
      </c>
      <c r="AL25" s="139">
        <v>42</v>
      </c>
      <c r="AM25" s="132">
        <v>39</v>
      </c>
      <c r="AN25" s="132">
        <v>45</v>
      </c>
      <c r="AO25" s="132">
        <v>40</v>
      </c>
      <c r="AP25" s="132">
        <v>31</v>
      </c>
      <c r="AQ25" s="132">
        <v>43</v>
      </c>
      <c r="AR25" s="132">
        <v>41</v>
      </c>
      <c r="AS25" s="132">
        <v>43</v>
      </c>
      <c r="AT25" s="132">
        <v>42</v>
      </c>
      <c r="AU25" s="132">
        <v>40</v>
      </c>
      <c r="AV25" s="132">
        <v>42</v>
      </c>
      <c r="AW25" s="132">
        <v>44</v>
      </c>
      <c r="AX25" s="132">
        <v>240</v>
      </c>
      <c r="AY25" s="132">
        <v>84</v>
      </c>
      <c r="AZ25" s="132">
        <v>168</v>
      </c>
      <c r="BA25" s="132">
        <v>354</v>
      </c>
      <c r="BB25" s="132">
        <v>492</v>
      </c>
      <c r="BC25" s="132">
        <v>522</v>
      </c>
      <c r="BD25" s="132">
        <v>30</v>
      </c>
      <c r="BE25" s="132">
        <v>0</v>
      </c>
      <c r="BF25" s="132">
        <v>0</v>
      </c>
      <c r="BG25" s="132">
        <v>207</v>
      </c>
      <c r="BH25" s="132">
        <v>79</v>
      </c>
      <c r="BI25" s="134">
        <v>15</v>
      </c>
      <c r="BJ25" s="134">
        <v>94</v>
      </c>
      <c r="BK25" s="134">
        <v>5</v>
      </c>
      <c r="BL25" s="134">
        <v>29</v>
      </c>
      <c r="BM25" s="134">
        <v>487</v>
      </c>
      <c r="BN25" s="133"/>
      <c r="BO25" s="133"/>
      <c r="BP25" s="133"/>
      <c r="BQ25" s="134">
        <v>516</v>
      </c>
      <c r="BR25" s="135">
        <v>9.358002406738869E-2</v>
      </c>
      <c r="BS25" s="136">
        <v>41.609999999999992</v>
      </c>
      <c r="BT25" s="136">
        <v>39.559999999999988</v>
      </c>
      <c r="BU25" s="136">
        <v>37.559999999999995</v>
      </c>
      <c r="BV25" s="136">
        <v>40.610000000000007</v>
      </c>
      <c r="BW25" s="137">
        <v>0</v>
      </c>
      <c r="BX25" s="137">
        <v>0</v>
      </c>
      <c r="BY25" s="138">
        <v>0</v>
      </c>
    </row>
    <row r="26" spans="1:77">
      <c r="A26" s="130">
        <v>25</v>
      </c>
      <c r="B26" s="131" t="s">
        <v>354</v>
      </c>
      <c r="C26" s="132" t="s">
        <v>355</v>
      </c>
      <c r="D26" s="132" t="s">
        <v>87</v>
      </c>
      <c r="E26" s="133">
        <v>376.81111111111113</v>
      </c>
      <c r="F26" s="133">
        <v>44.144444444444446</v>
      </c>
      <c r="G26" s="134">
        <v>185</v>
      </c>
      <c r="H26" s="134">
        <v>1290</v>
      </c>
      <c r="I26" s="134">
        <v>494</v>
      </c>
      <c r="J26" s="134">
        <v>912</v>
      </c>
      <c r="K26" s="134">
        <v>2881</v>
      </c>
      <c r="L26" s="134">
        <v>2696</v>
      </c>
      <c r="M26" s="134">
        <v>1969</v>
      </c>
      <c r="N26" s="134">
        <v>40</v>
      </c>
      <c r="O26" s="132">
        <v>181.83333333333334</v>
      </c>
      <c r="P26" s="132">
        <v>213.99444444444444</v>
      </c>
      <c r="Q26" s="132">
        <v>214.96666666666667</v>
      </c>
      <c r="R26" s="132">
        <v>194.6888888888889</v>
      </c>
      <c r="S26" s="132">
        <v>223.47777777777779</v>
      </c>
      <c r="T26" s="132">
        <v>213.21666666666667</v>
      </c>
      <c r="U26" s="132">
        <v>212.39444444444445</v>
      </c>
      <c r="V26" s="132">
        <v>245.46666666666667</v>
      </c>
      <c r="W26" s="132">
        <v>242.83333333333334</v>
      </c>
      <c r="X26" s="132">
        <v>215.01666666666668</v>
      </c>
      <c r="Y26" s="132">
        <v>233.11666666666667</v>
      </c>
      <c r="Z26" s="132">
        <v>216.87222222222223</v>
      </c>
      <c r="AA26" s="132">
        <v>208.66666666666666</v>
      </c>
      <c r="AB26" s="132">
        <v>1272.7388888888888</v>
      </c>
      <c r="AC26" s="132">
        <v>488.3</v>
      </c>
      <c r="AD26" s="132">
        <v>873.67222222222222</v>
      </c>
      <c r="AE26" s="132">
        <v>1942.8722222222223</v>
      </c>
      <c r="AF26" s="132">
        <v>2634.7111111111108</v>
      </c>
      <c r="AG26" s="132">
        <v>2816.5444444444447</v>
      </c>
      <c r="AH26" s="133">
        <v>389.84444444444443</v>
      </c>
      <c r="AI26" s="133">
        <v>42.483333333333334</v>
      </c>
      <c r="AJ26" s="133">
        <v>432.32777777777778</v>
      </c>
      <c r="AK26" s="134">
        <v>178</v>
      </c>
      <c r="AL26" s="139">
        <v>194</v>
      </c>
      <c r="AM26" s="132">
        <v>213</v>
      </c>
      <c r="AN26" s="132">
        <v>229</v>
      </c>
      <c r="AO26" s="132">
        <v>195</v>
      </c>
      <c r="AP26" s="132">
        <v>226</v>
      </c>
      <c r="AQ26" s="132">
        <v>224</v>
      </c>
      <c r="AR26" s="132">
        <v>218</v>
      </c>
      <c r="AS26" s="132">
        <v>239</v>
      </c>
      <c r="AT26" s="132">
        <v>245</v>
      </c>
      <c r="AU26" s="132">
        <v>224</v>
      </c>
      <c r="AV26" s="132">
        <v>239</v>
      </c>
      <c r="AW26" s="132">
        <v>207</v>
      </c>
      <c r="AX26" s="132">
        <v>1281</v>
      </c>
      <c r="AY26" s="132">
        <v>457</v>
      </c>
      <c r="AZ26" s="132">
        <v>915</v>
      </c>
      <c r="BA26" s="132">
        <v>1916</v>
      </c>
      <c r="BB26" s="132">
        <v>2653</v>
      </c>
      <c r="BC26" s="132">
        <v>2831</v>
      </c>
      <c r="BD26" s="132">
        <v>131</v>
      </c>
      <c r="BE26" s="132">
        <v>47</v>
      </c>
      <c r="BF26" s="132">
        <v>0</v>
      </c>
      <c r="BG26" s="132">
        <v>2042</v>
      </c>
      <c r="BH26" s="132">
        <v>396</v>
      </c>
      <c r="BI26" s="134">
        <v>41</v>
      </c>
      <c r="BJ26" s="134">
        <v>437</v>
      </c>
      <c r="BK26" s="134">
        <v>698</v>
      </c>
      <c r="BL26" s="134">
        <v>175</v>
      </c>
      <c r="BM26" s="134">
        <v>2623</v>
      </c>
      <c r="BN26" s="133"/>
      <c r="BO26" s="133"/>
      <c r="BP26" s="133"/>
      <c r="BQ26" s="134">
        <v>2798</v>
      </c>
      <c r="BR26" s="135">
        <v>9.4389498384209181E-2</v>
      </c>
      <c r="BS26" s="136">
        <v>207.33500000000012</v>
      </c>
      <c r="BT26" s="136">
        <v>191.29200000000006</v>
      </c>
      <c r="BU26" s="136">
        <v>182.19420000000005</v>
      </c>
      <c r="BV26" s="136">
        <v>215.33500000000004</v>
      </c>
      <c r="BW26" s="137">
        <v>0</v>
      </c>
      <c r="BX26" s="137">
        <v>0</v>
      </c>
      <c r="BY26" s="138">
        <v>0</v>
      </c>
    </row>
    <row r="27" spans="1:77">
      <c r="A27" s="130">
        <v>26</v>
      </c>
      <c r="B27" s="131" t="s">
        <v>356</v>
      </c>
      <c r="C27" s="132" t="s">
        <v>357</v>
      </c>
      <c r="D27" s="132" t="s">
        <v>87</v>
      </c>
      <c r="E27" s="133">
        <v>542.23333333333335</v>
      </c>
      <c r="F27" s="133">
        <v>56.366666666666667</v>
      </c>
      <c r="G27" s="134">
        <v>330</v>
      </c>
      <c r="H27" s="134">
        <v>2046</v>
      </c>
      <c r="I27" s="134">
        <v>753</v>
      </c>
      <c r="J27" s="134">
        <v>1434</v>
      </c>
      <c r="K27" s="134">
        <v>4563</v>
      </c>
      <c r="L27" s="134">
        <v>4233</v>
      </c>
      <c r="M27" s="134">
        <v>3129</v>
      </c>
      <c r="N27" s="134">
        <v>57</v>
      </c>
      <c r="O27" s="132">
        <v>331.52777777777777</v>
      </c>
      <c r="P27" s="132">
        <v>328.51666666666665</v>
      </c>
      <c r="Q27" s="132">
        <v>379.57777777777778</v>
      </c>
      <c r="R27" s="132">
        <v>319.8</v>
      </c>
      <c r="S27" s="132">
        <v>336.01666666666665</v>
      </c>
      <c r="T27" s="132">
        <v>317.55</v>
      </c>
      <c r="U27" s="132">
        <v>351.1</v>
      </c>
      <c r="V27" s="132">
        <v>350.90555555555557</v>
      </c>
      <c r="W27" s="132">
        <v>394.06666666666666</v>
      </c>
      <c r="X27" s="132">
        <v>333.92222222222222</v>
      </c>
      <c r="Y27" s="132">
        <v>386.97777777777776</v>
      </c>
      <c r="Z27" s="132">
        <v>335.49444444444447</v>
      </c>
      <c r="AA27" s="132">
        <v>312.01666666666665</v>
      </c>
      <c r="AB27" s="132">
        <v>2032.5611111111111</v>
      </c>
      <c r="AC27" s="132">
        <v>744.97222222222217</v>
      </c>
      <c r="AD27" s="132">
        <v>1368.411111111111</v>
      </c>
      <c r="AE27" s="132">
        <v>3109.0611111111111</v>
      </c>
      <c r="AF27" s="132">
        <v>4145.9444444444443</v>
      </c>
      <c r="AG27" s="132">
        <v>4477.4722222222217</v>
      </c>
      <c r="AH27" s="133">
        <v>579.25</v>
      </c>
      <c r="AI27" s="133">
        <v>55.038888888888891</v>
      </c>
      <c r="AJ27" s="133">
        <v>634.28888888888889</v>
      </c>
      <c r="AK27" s="134">
        <v>314</v>
      </c>
      <c r="AL27" s="139">
        <v>330</v>
      </c>
      <c r="AM27" s="132">
        <v>339</v>
      </c>
      <c r="AN27" s="132">
        <v>375</v>
      </c>
      <c r="AO27" s="132">
        <v>335</v>
      </c>
      <c r="AP27" s="132">
        <v>340</v>
      </c>
      <c r="AQ27" s="132">
        <v>322</v>
      </c>
      <c r="AR27" s="132">
        <v>330</v>
      </c>
      <c r="AS27" s="132">
        <v>352</v>
      </c>
      <c r="AT27" s="132">
        <v>412</v>
      </c>
      <c r="AU27" s="132">
        <v>334</v>
      </c>
      <c r="AV27" s="132">
        <v>386</v>
      </c>
      <c r="AW27" s="132">
        <v>333</v>
      </c>
      <c r="AX27" s="132">
        <v>2041</v>
      </c>
      <c r="AY27" s="132">
        <v>682</v>
      </c>
      <c r="AZ27" s="132">
        <v>1465</v>
      </c>
      <c r="BA27" s="132">
        <v>3037</v>
      </c>
      <c r="BB27" s="132">
        <v>4188</v>
      </c>
      <c r="BC27" s="132">
        <v>4502</v>
      </c>
      <c r="BD27" s="132">
        <v>306</v>
      </c>
      <c r="BE27" s="132">
        <v>8</v>
      </c>
      <c r="BF27" s="132">
        <v>4</v>
      </c>
      <c r="BG27" s="132">
        <v>2046</v>
      </c>
      <c r="BH27" s="132">
        <v>582</v>
      </c>
      <c r="BI27" s="134">
        <v>61</v>
      </c>
      <c r="BJ27" s="134">
        <v>643</v>
      </c>
      <c r="BK27" s="134">
        <v>57</v>
      </c>
      <c r="BL27" s="134">
        <v>312</v>
      </c>
      <c r="BM27" s="134">
        <v>4130</v>
      </c>
      <c r="BN27" s="133"/>
      <c r="BO27" s="133"/>
      <c r="BP27" s="133"/>
      <c r="BQ27" s="134">
        <v>4442</v>
      </c>
      <c r="BR27" s="135">
        <v>0.10595297754589184</v>
      </c>
      <c r="BS27" s="136">
        <v>268.29500000000007</v>
      </c>
      <c r="BT27" s="136">
        <v>253.79500000000007</v>
      </c>
      <c r="BU27" s="136">
        <v>245.28</v>
      </c>
      <c r="BV27" s="136">
        <v>267.495</v>
      </c>
      <c r="BW27" s="137">
        <v>0</v>
      </c>
      <c r="BX27" s="137">
        <v>0</v>
      </c>
      <c r="BY27" s="138">
        <v>0</v>
      </c>
    </row>
    <row r="28" spans="1:77">
      <c r="A28" s="130">
        <v>27</v>
      </c>
      <c r="B28" s="131" t="s">
        <v>358</v>
      </c>
      <c r="C28" s="132" t="s">
        <v>359</v>
      </c>
      <c r="D28" s="132" t="s">
        <v>87</v>
      </c>
      <c r="E28" s="133">
        <v>407.66666666666669</v>
      </c>
      <c r="F28" s="133">
        <v>27.405555555555555</v>
      </c>
      <c r="G28" s="134">
        <v>225</v>
      </c>
      <c r="H28" s="134">
        <v>1432</v>
      </c>
      <c r="I28" s="134">
        <v>479</v>
      </c>
      <c r="J28" s="134">
        <v>1053</v>
      </c>
      <c r="K28" s="134">
        <v>3189</v>
      </c>
      <c r="L28" s="134">
        <v>2964</v>
      </c>
      <c r="M28" s="134">
        <v>2136</v>
      </c>
      <c r="N28" s="134">
        <v>25</v>
      </c>
      <c r="O28" s="132">
        <v>222.08333333333334</v>
      </c>
      <c r="P28" s="132">
        <v>237.26111111111112</v>
      </c>
      <c r="Q28" s="132">
        <v>209.42777777777778</v>
      </c>
      <c r="R28" s="132">
        <v>241.97777777777779</v>
      </c>
      <c r="S28" s="132">
        <v>225.1</v>
      </c>
      <c r="T28" s="132">
        <v>224.66666666666666</v>
      </c>
      <c r="U28" s="132">
        <v>270.5888888888889</v>
      </c>
      <c r="V28" s="132">
        <v>230.65</v>
      </c>
      <c r="W28" s="132">
        <v>239.23333333333332</v>
      </c>
      <c r="X28" s="132">
        <v>243</v>
      </c>
      <c r="Y28" s="132">
        <v>276.02222222222224</v>
      </c>
      <c r="Z28" s="132">
        <v>238.13888888888889</v>
      </c>
      <c r="AA28" s="132">
        <v>251.17222222222222</v>
      </c>
      <c r="AB28" s="132">
        <v>1409.0222222222224</v>
      </c>
      <c r="AC28" s="132">
        <v>469.88333333333333</v>
      </c>
      <c r="AD28" s="132">
        <v>1008.3333333333334</v>
      </c>
      <c r="AE28" s="132">
        <v>2100.9888888888891</v>
      </c>
      <c r="AF28" s="132">
        <v>2887.2388888888891</v>
      </c>
      <c r="AG28" s="132">
        <v>3109.3222222222221</v>
      </c>
      <c r="AH28" s="133">
        <v>391.55</v>
      </c>
      <c r="AI28" s="133">
        <v>25.6</v>
      </c>
      <c r="AJ28" s="133">
        <v>417.15000000000003</v>
      </c>
      <c r="AK28" s="134">
        <v>225</v>
      </c>
      <c r="AL28" s="139">
        <v>227</v>
      </c>
      <c r="AM28" s="132">
        <v>245</v>
      </c>
      <c r="AN28" s="132">
        <v>220</v>
      </c>
      <c r="AO28" s="132">
        <v>245</v>
      </c>
      <c r="AP28" s="132">
        <v>232</v>
      </c>
      <c r="AQ28" s="132">
        <v>240</v>
      </c>
      <c r="AR28" s="132">
        <v>275</v>
      </c>
      <c r="AS28" s="132">
        <v>247</v>
      </c>
      <c r="AT28" s="132">
        <v>252</v>
      </c>
      <c r="AU28" s="132">
        <v>248</v>
      </c>
      <c r="AV28" s="132">
        <v>278</v>
      </c>
      <c r="AW28" s="132">
        <v>237</v>
      </c>
      <c r="AX28" s="132">
        <v>1409</v>
      </c>
      <c r="AY28" s="132">
        <v>522</v>
      </c>
      <c r="AZ28" s="132">
        <v>1015</v>
      </c>
      <c r="BA28" s="132">
        <v>2156</v>
      </c>
      <c r="BB28" s="132">
        <v>2946</v>
      </c>
      <c r="BC28" s="132">
        <v>3171</v>
      </c>
      <c r="BD28" s="132">
        <v>200</v>
      </c>
      <c r="BE28" s="132">
        <v>25</v>
      </c>
      <c r="BF28" s="132">
        <v>2</v>
      </c>
      <c r="BG28" s="132">
        <v>1405</v>
      </c>
      <c r="BH28" s="132">
        <v>400</v>
      </c>
      <c r="BI28" s="134">
        <v>31</v>
      </c>
      <c r="BJ28" s="134">
        <v>431</v>
      </c>
      <c r="BK28" s="134">
        <v>274</v>
      </c>
      <c r="BL28" s="134">
        <v>222</v>
      </c>
      <c r="BM28" s="134">
        <v>2927</v>
      </c>
      <c r="BN28" s="133"/>
      <c r="BO28" s="133"/>
      <c r="BP28" s="133"/>
      <c r="BQ28" s="134">
        <v>3149</v>
      </c>
      <c r="BR28" s="135">
        <v>9.7525700921754221E-2</v>
      </c>
      <c r="BS28" s="136">
        <v>206.23000000000002</v>
      </c>
      <c r="BT28" s="136">
        <v>196.25</v>
      </c>
      <c r="BU28" s="136">
        <v>189.60500000000005</v>
      </c>
      <c r="BV28" s="136">
        <v>203.98999999999998</v>
      </c>
      <c r="BW28" s="137">
        <v>1</v>
      </c>
      <c r="BX28" s="137">
        <v>0</v>
      </c>
      <c r="BY28" s="138">
        <v>0</v>
      </c>
    </row>
    <row r="29" spans="1:77">
      <c r="A29" s="130">
        <v>28</v>
      </c>
      <c r="B29" s="131" t="s">
        <v>360</v>
      </c>
      <c r="C29" s="132" t="s">
        <v>361</v>
      </c>
      <c r="D29" s="132" t="s">
        <v>87</v>
      </c>
      <c r="E29" s="133">
        <v>124.67222222222222</v>
      </c>
      <c r="F29" s="133">
        <v>11.522222222222222</v>
      </c>
      <c r="G29" s="134">
        <v>110</v>
      </c>
      <c r="H29" s="134">
        <v>728</v>
      </c>
      <c r="I29" s="134">
        <v>263</v>
      </c>
      <c r="J29" s="134">
        <v>568</v>
      </c>
      <c r="K29" s="134">
        <v>1669</v>
      </c>
      <c r="L29" s="134">
        <v>1559</v>
      </c>
      <c r="M29" s="134">
        <v>1101</v>
      </c>
      <c r="N29" s="134">
        <v>8</v>
      </c>
      <c r="O29" s="132">
        <v>106.64444444444445</v>
      </c>
      <c r="P29" s="132">
        <v>104.19444444444444</v>
      </c>
      <c r="Q29" s="132">
        <v>96.6</v>
      </c>
      <c r="R29" s="132">
        <v>107.39444444444445</v>
      </c>
      <c r="S29" s="132">
        <v>140.37777777777777</v>
      </c>
      <c r="T29" s="132">
        <v>128.31666666666666</v>
      </c>
      <c r="U29" s="132">
        <v>151.12777777777777</v>
      </c>
      <c r="V29" s="132">
        <v>115.29444444444445</v>
      </c>
      <c r="W29" s="132">
        <v>144.3111111111111</v>
      </c>
      <c r="X29" s="132">
        <v>150.97222222222223</v>
      </c>
      <c r="Y29" s="132">
        <v>147.27222222222221</v>
      </c>
      <c r="Z29" s="132">
        <v>141.51111111111112</v>
      </c>
      <c r="AA29" s="132">
        <v>122.3</v>
      </c>
      <c r="AB29" s="132">
        <v>728.01111111111095</v>
      </c>
      <c r="AC29" s="132">
        <v>259.60555555555555</v>
      </c>
      <c r="AD29" s="132">
        <v>562.05555555555554</v>
      </c>
      <c r="AE29" s="132">
        <v>1094.2611111111112</v>
      </c>
      <c r="AF29" s="132">
        <v>1549.672222222222</v>
      </c>
      <c r="AG29" s="132">
        <v>1656.3166666666666</v>
      </c>
      <c r="AH29" s="133">
        <v>147.9</v>
      </c>
      <c r="AI29" s="133">
        <v>11.138888888888889</v>
      </c>
      <c r="AJ29" s="133">
        <v>159.03888888888889</v>
      </c>
      <c r="AK29" s="134">
        <v>94</v>
      </c>
      <c r="AL29" s="139">
        <v>101</v>
      </c>
      <c r="AM29" s="132">
        <v>111</v>
      </c>
      <c r="AN29" s="132">
        <v>102</v>
      </c>
      <c r="AO29" s="132">
        <v>108</v>
      </c>
      <c r="AP29" s="132">
        <v>140</v>
      </c>
      <c r="AQ29" s="132">
        <v>121</v>
      </c>
      <c r="AR29" s="132">
        <v>161</v>
      </c>
      <c r="AS29" s="132">
        <v>113</v>
      </c>
      <c r="AT29" s="132">
        <v>151</v>
      </c>
      <c r="AU29" s="132">
        <v>154</v>
      </c>
      <c r="AV29" s="132">
        <v>136</v>
      </c>
      <c r="AW29" s="132">
        <v>140</v>
      </c>
      <c r="AX29" s="132">
        <v>683</v>
      </c>
      <c r="AY29" s="132">
        <v>274</v>
      </c>
      <c r="AZ29" s="132">
        <v>581</v>
      </c>
      <c r="BA29" s="132">
        <v>1051</v>
      </c>
      <c r="BB29" s="132">
        <v>1538</v>
      </c>
      <c r="BC29" s="132">
        <v>1632</v>
      </c>
      <c r="BD29" s="132">
        <v>94</v>
      </c>
      <c r="BE29" s="132">
        <v>0</v>
      </c>
      <c r="BF29" s="132">
        <v>0</v>
      </c>
      <c r="BG29" s="132">
        <v>273</v>
      </c>
      <c r="BH29" s="132">
        <v>149</v>
      </c>
      <c r="BI29" s="134">
        <v>9</v>
      </c>
      <c r="BJ29" s="134">
        <v>158</v>
      </c>
      <c r="BK29" s="134">
        <v>108</v>
      </c>
      <c r="BL29" s="134">
        <v>95.778197857592943</v>
      </c>
      <c r="BM29" s="134">
        <v>1504.2218021424069</v>
      </c>
      <c r="BN29" s="133"/>
      <c r="BO29" s="133"/>
      <c r="BP29" s="133"/>
      <c r="BQ29" s="134">
        <v>1599.9999999999998</v>
      </c>
      <c r="BR29" s="135">
        <v>9.3910039036773252E-2</v>
      </c>
      <c r="BS29" s="136">
        <v>108.51</v>
      </c>
      <c r="BT29" s="136">
        <v>102.06</v>
      </c>
      <c r="BU29" s="136">
        <v>96.06</v>
      </c>
      <c r="BV29" s="136">
        <v>108.50999999999999</v>
      </c>
      <c r="BW29" s="137">
        <v>0</v>
      </c>
      <c r="BX29" s="137">
        <v>0</v>
      </c>
      <c r="BY29" s="138">
        <v>0</v>
      </c>
    </row>
    <row r="30" spans="1:77">
      <c r="A30" s="130">
        <v>29</v>
      </c>
      <c r="B30" s="131" t="s">
        <v>362</v>
      </c>
      <c r="C30" s="132" t="s">
        <v>363</v>
      </c>
      <c r="D30" s="132" t="s">
        <v>87</v>
      </c>
      <c r="E30" s="133">
        <v>19.783333333333335</v>
      </c>
      <c r="F30" s="133">
        <v>3.1</v>
      </c>
      <c r="G30" s="134">
        <v>16</v>
      </c>
      <c r="H30" s="134">
        <v>93</v>
      </c>
      <c r="I30" s="134">
        <v>54</v>
      </c>
      <c r="J30" s="134">
        <v>91</v>
      </c>
      <c r="K30" s="134">
        <v>254</v>
      </c>
      <c r="L30" s="134">
        <v>238</v>
      </c>
      <c r="M30" s="134">
        <v>163</v>
      </c>
      <c r="N30" s="134">
        <v>3</v>
      </c>
      <c r="O30" s="132">
        <v>16.205555555555556</v>
      </c>
      <c r="P30" s="132">
        <v>15.438888888888888</v>
      </c>
      <c r="Q30" s="132">
        <v>13.361111111111111</v>
      </c>
      <c r="R30" s="132">
        <v>13.377777777777778</v>
      </c>
      <c r="S30" s="132">
        <v>17.95</v>
      </c>
      <c r="T30" s="132">
        <v>15.383333333333333</v>
      </c>
      <c r="U30" s="132">
        <v>15.794444444444444</v>
      </c>
      <c r="V30" s="132">
        <v>28.483333333333334</v>
      </c>
      <c r="W30" s="132">
        <v>26.611111111111111</v>
      </c>
      <c r="X30" s="132">
        <v>20.727777777777778</v>
      </c>
      <c r="Y30" s="132">
        <v>28.18888888888889</v>
      </c>
      <c r="Z30" s="132">
        <v>19.866666666666667</v>
      </c>
      <c r="AA30" s="132">
        <v>20.06111111111111</v>
      </c>
      <c r="AB30" s="132">
        <v>91.305555555555571</v>
      </c>
      <c r="AC30" s="132">
        <v>55.094444444444449</v>
      </c>
      <c r="AD30" s="132">
        <v>88.844444444444434</v>
      </c>
      <c r="AE30" s="132">
        <v>162.60555555555558</v>
      </c>
      <c r="AF30" s="132">
        <v>235.24444444444447</v>
      </c>
      <c r="AG30" s="132">
        <v>251.45000000000005</v>
      </c>
      <c r="AH30" s="133">
        <v>22.461111111111112</v>
      </c>
      <c r="AI30" s="133">
        <v>2.3722222222222222</v>
      </c>
      <c r="AJ30" s="133">
        <v>24.833333333333336</v>
      </c>
      <c r="AK30" s="134">
        <v>15</v>
      </c>
      <c r="AL30" s="139">
        <v>17</v>
      </c>
      <c r="AM30" s="132">
        <v>16</v>
      </c>
      <c r="AN30" s="132">
        <v>16</v>
      </c>
      <c r="AO30" s="132">
        <v>12</v>
      </c>
      <c r="AP30" s="132">
        <v>18</v>
      </c>
      <c r="AQ30" s="132">
        <v>21</v>
      </c>
      <c r="AR30" s="132">
        <v>17</v>
      </c>
      <c r="AS30" s="132">
        <v>30</v>
      </c>
      <c r="AT30" s="132">
        <v>30</v>
      </c>
      <c r="AU30" s="132">
        <v>20</v>
      </c>
      <c r="AV30" s="132">
        <v>29</v>
      </c>
      <c r="AW30" s="132">
        <v>21</v>
      </c>
      <c r="AX30" s="132">
        <v>100</v>
      </c>
      <c r="AY30" s="132">
        <v>47</v>
      </c>
      <c r="AZ30" s="132">
        <v>100</v>
      </c>
      <c r="BA30" s="132">
        <v>162</v>
      </c>
      <c r="BB30" s="132">
        <v>247</v>
      </c>
      <c r="BC30" s="132">
        <v>262</v>
      </c>
      <c r="BD30" s="132">
        <v>15</v>
      </c>
      <c r="BE30" s="132">
        <v>0</v>
      </c>
      <c r="BF30" s="132">
        <v>0</v>
      </c>
      <c r="BG30" s="132">
        <v>101</v>
      </c>
      <c r="BH30" s="132">
        <v>35</v>
      </c>
      <c r="BI30" s="134">
        <v>4</v>
      </c>
      <c r="BJ30" s="134">
        <v>39</v>
      </c>
      <c r="BK30" s="134">
        <v>0</v>
      </c>
      <c r="BL30" s="134">
        <v>15</v>
      </c>
      <c r="BM30" s="134">
        <v>245</v>
      </c>
      <c r="BN30" s="133"/>
      <c r="BO30" s="133"/>
      <c r="BP30" s="133"/>
      <c r="BQ30" s="134">
        <v>260</v>
      </c>
      <c r="BR30" s="135">
        <v>8.4019402202412163E-2</v>
      </c>
      <c r="BS30" s="136">
        <v>24.000000000000004</v>
      </c>
      <c r="BT30" s="136">
        <v>21.700000000000003</v>
      </c>
      <c r="BU30" s="136">
        <v>21.6</v>
      </c>
      <c r="BV30" s="136">
        <v>26</v>
      </c>
      <c r="BW30" s="137">
        <v>0</v>
      </c>
      <c r="BX30" s="137">
        <v>0</v>
      </c>
      <c r="BY30" s="138">
        <v>0</v>
      </c>
    </row>
    <row r="31" spans="1:77">
      <c r="A31" s="130">
        <v>30</v>
      </c>
      <c r="B31" s="131" t="s">
        <v>364</v>
      </c>
      <c r="C31" s="132" t="s">
        <v>365</v>
      </c>
      <c r="D31" s="132" t="s">
        <v>87</v>
      </c>
      <c r="E31" s="133">
        <v>2091.2333333333331</v>
      </c>
      <c r="F31" s="133">
        <v>232.64444444444445</v>
      </c>
      <c r="G31" s="134">
        <v>1552</v>
      </c>
      <c r="H31" s="134">
        <v>11260</v>
      </c>
      <c r="I31" s="134">
        <v>3619</v>
      </c>
      <c r="J31" s="134">
        <v>7397</v>
      </c>
      <c r="K31" s="134">
        <v>23828</v>
      </c>
      <c r="L31" s="134">
        <v>22276</v>
      </c>
      <c r="M31" s="134">
        <v>16431</v>
      </c>
      <c r="N31" s="134">
        <v>167</v>
      </c>
      <c r="O31" s="132">
        <v>1539.8722222222223</v>
      </c>
      <c r="P31" s="132">
        <v>1817.0333333333333</v>
      </c>
      <c r="Q31" s="132">
        <v>1799.7166666666667</v>
      </c>
      <c r="R31" s="132">
        <v>1885.95</v>
      </c>
      <c r="S31" s="132">
        <v>1899.85</v>
      </c>
      <c r="T31" s="132">
        <v>1879.7666666666667</v>
      </c>
      <c r="U31" s="132">
        <v>1854.2111111111112</v>
      </c>
      <c r="V31" s="132">
        <v>1773.0277777777778</v>
      </c>
      <c r="W31" s="132">
        <v>1783.8333333333333</v>
      </c>
      <c r="X31" s="132">
        <v>2016.5166666666667</v>
      </c>
      <c r="Y31" s="132">
        <v>1877.2388888888888</v>
      </c>
      <c r="Z31" s="132">
        <v>1752.3111111111111</v>
      </c>
      <c r="AA31" s="132">
        <v>1456.4833333333333</v>
      </c>
      <c r="AB31" s="132">
        <v>11136.527777777777</v>
      </c>
      <c r="AC31" s="132">
        <v>3556.8611111111113</v>
      </c>
      <c r="AD31" s="132">
        <v>7102.55</v>
      </c>
      <c r="AE31" s="132">
        <v>16233.261111111111</v>
      </c>
      <c r="AF31" s="132">
        <v>21795.93888888889</v>
      </c>
      <c r="AG31" s="132">
        <v>23335.81111111111</v>
      </c>
      <c r="AH31" s="133">
        <v>2157.4722222222222</v>
      </c>
      <c r="AI31" s="133">
        <v>237.97222222222223</v>
      </c>
      <c r="AJ31" s="133">
        <v>2395.4444444444443</v>
      </c>
      <c r="AK31" s="134">
        <v>967</v>
      </c>
      <c r="AL31" s="139">
        <v>977</v>
      </c>
      <c r="AM31" s="132">
        <v>1083</v>
      </c>
      <c r="AN31" s="132">
        <v>1103</v>
      </c>
      <c r="AO31" s="132">
        <v>1138</v>
      </c>
      <c r="AP31" s="132">
        <v>1158</v>
      </c>
      <c r="AQ31" s="132">
        <v>1086</v>
      </c>
      <c r="AR31" s="132">
        <v>1165</v>
      </c>
      <c r="AS31" s="132">
        <v>1138</v>
      </c>
      <c r="AT31" s="132">
        <v>1480</v>
      </c>
      <c r="AU31" s="132">
        <v>1508</v>
      </c>
      <c r="AV31" s="132">
        <v>1469</v>
      </c>
      <c r="AW31" s="132">
        <v>1316</v>
      </c>
      <c r="AX31" s="132">
        <v>6545</v>
      </c>
      <c r="AY31" s="132">
        <v>2303</v>
      </c>
      <c r="AZ31" s="132">
        <v>5773</v>
      </c>
      <c r="BA31" s="132">
        <v>9815</v>
      </c>
      <c r="BB31" s="132">
        <v>14621</v>
      </c>
      <c r="BC31" s="132">
        <v>15588</v>
      </c>
      <c r="BD31" s="132">
        <v>845</v>
      </c>
      <c r="BE31" s="132">
        <v>122</v>
      </c>
      <c r="BF31" s="132">
        <v>16</v>
      </c>
      <c r="BG31" s="132">
        <v>4720</v>
      </c>
      <c r="BH31" s="132">
        <v>1997</v>
      </c>
      <c r="BI31" s="134">
        <v>241</v>
      </c>
      <c r="BJ31" s="134">
        <v>2238</v>
      </c>
      <c r="BK31" s="134">
        <v>1223</v>
      </c>
      <c r="BL31" s="134">
        <v>1025.8492569002124</v>
      </c>
      <c r="BM31" s="134">
        <v>14374.150743099788</v>
      </c>
      <c r="BN31" s="133"/>
      <c r="BO31" s="133"/>
      <c r="BP31" s="133"/>
      <c r="BQ31" s="134">
        <v>15400</v>
      </c>
      <c r="BR31" s="135">
        <v>8.7874472544549109E-2</v>
      </c>
      <c r="BS31" s="136">
        <v>959.0740000000003</v>
      </c>
      <c r="BT31" s="136">
        <v>910.44900000000018</v>
      </c>
      <c r="BU31" s="136">
        <v>863.70100000000014</v>
      </c>
      <c r="BV31" s="136">
        <v>940.67399999999975</v>
      </c>
      <c r="BW31" s="137">
        <v>0</v>
      </c>
      <c r="BX31" s="137">
        <v>87</v>
      </c>
      <c r="BY31" s="138">
        <v>8236.4</v>
      </c>
    </row>
    <row r="32" spans="1:77">
      <c r="A32" s="130">
        <v>31</v>
      </c>
      <c r="B32" s="131" t="s">
        <v>366</v>
      </c>
      <c r="C32" s="132" t="s">
        <v>367</v>
      </c>
      <c r="D32" s="132" t="s">
        <v>87</v>
      </c>
      <c r="E32" s="133">
        <v>756.28888888888889</v>
      </c>
      <c r="F32" s="133">
        <v>138.1</v>
      </c>
      <c r="G32" s="134">
        <v>493</v>
      </c>
      <c r="H32" s="134">
        <v>3130</v>
      </c>
      <c r="I32" s="134">
        <v>1105</v>
      </c>
      <c r="J32" s="134">
        <v>2101</v>
      </c>
      <c r="K32" s="134">
        <v>6829</v>
      </c>
      <c r="L32" s="134">
        <v>6336</v>
      </c>
      <c r="M32" s="134">
        <v>4728</v>
      </c>
      <c r="N32" s="134">
        <v>159</v>
      </c>
      <c r="O32" s="132">
        <v>465.51666666666665</v>
      </c>
      <c r="P32" s="132">
        <v>506.67777777777781</v>
      </c>
      <c r="Q32" s="132">
        <v>496.61666666666667</v>
      </c>
      <c r="R32" s="132">
        <v>502.91666666666669</v>
      </c>
      <c r="S32" s="132">
        <v>526.02777777777783</v>
      </c>
      <c r="T32" s="132">
        <v>487.55555555555554</v>
      </c>
      <c r="U32" s="132">
        <v>527.98333333333335</v>
      </c>
      <c r="V32" s="132">
        <v>513.9666666666667</v>
      </c>
      <c r="W32" s="132">
        <v>551.76666666666665</v>
      </c>
      <c r="X32" s="132">
        <v>545.62222222222226</v>
      </c>
      <c r="Y32" s="132">
        <v>515.03888888888889</v>
      </c>
      <c r="Z32" s="132">
        <v>514.73888888888894</v>
      </c>
      <c r="AA32" s="132">
        <v>333.63888888888891</v>
      </c>
      <c r="AB32" s="132">
        <v>3047.7777777777783</v>
      </c>
      <c r="AC32" s="132">
        <v>1065.7333333333333</v>
      </c>
      <c r="AD32" s="132">
        <v>1909.038888888889</v>
      </c>
      <c r="AE32" s="132">
        <v>4579.0277777777783</v>
      </c>
      <c r="AF32" s="132">
        <v>6022.5500000000011</v>
      </c>
      <c r="AG32" s="132">
        <v>6488.0666666666675</v>
      </c>
      <c r="AH32" s="133">
        <v>764.02222222222224</v>
      </c>
      <c r="AI32" s="133">
        <v>169.9388888888889</v>
      </c>
      <c r="AJ32" s="133">
        <v>933.96111111111111</v>
      </c>
      <c r="AK32" s="134">
        <v>487</v>
      </c>
      <c r="AL32" s="139">
        <v>475</v>
      </c>
      <c r="AM32" s="132">
        <v>517</v>
      </c>
      <c r="AN32" s="132">
        <v>513</v>
      </c>
      <c r="AO32" s="132">
        <v>505</v>
      </c>
      <c r="AP32" s="132">
        <v>540</v>
      </c>
      <c r="AQ32" s="132">
        <v>493</v>
      </c>
      <c r="AR32" s="132">
        <v>525</v>
      </c>
      <c r="AS32" s="132">
        <v>533</v>
      </c>
      <c r="AT32" s="132">
        <v>569</v>
      </c>
      <c r="AU32" s="132">
        <v>569</v>
      </c>
      <c r="AV32" s="132">
        <v>517</v>
      </c>
      <c r="AW32" s="132">
        <v>506</v>
      </c>
      <c r="AX32" s="132">
        <v>3043</v>
      </c>
      <c r="AY32" s="132">
        <v>1058</v>
      </c>
      <c r="AZ32" s="132">
        <v>2161</v>
      </c>
      <c r="BA32" s="132">
        <v>4588</v>
      </c>
      <c r="BB32" s="132">
        <v>6262</v>
      </c>
      <c r="BC32" s="132">
        <v>6749</v>
      </c>
      <c r="BD32" s="132">
        <v>437</v>
      </c>
      <c r="BE32" s="132">
        <v>50</v>
      </c>
      <c r="BF32" s="132">
        <v>6</v>
      </c>
      <c r="BG32" s="132">
        <v>2796</v>
      </c>
      <c r="BH32" s="132">
        <v>787</v>
      </c>
      <c r="BI32" s="134">
        <v>165</v>
      </c>
      <c r="BJ32" s="134">
        <v>952</v>
      </c>
      <c r="BK32" s="134">
        <v>215</v>
      </c>
      <c r="BL32" s="134">
        <v>480</v>
      </c>
      <c r="BM32" s="134">
        <v>6105</v>
      </c>
      <c r="BN32" s="133"/>
      <c r="BO32" s="133"/>
      <c r="BP32" s="133"/>
      <c r="BQ32" s="134">
        <v>6585</v>
      </c>
      <c r="BR32" s="135">
        <v>8.0887642587273212E-2</v>
      </c>
      <c r="BS32" s="136">
        <v>363.47900000000004</v>
      </c>
      <c r="BT32" s="136">
        <v>347.47900000000004</v>
      </c>
      <c r="BU32" s="136">
        <v>312.02400000000006</v>
      </c>
      <c r="BV32" s="136">
        <v>347.80900000000003</v>
      </c>
      <c r="BW32" s="137">
        <v>190</v>
      </c>
      <c r="BX32" s="137">
        <v>15</v>
      </c>
      <c r="BY32" s="138">
        <v>192.78888799999999</v>
      </c>
    </row>
    <row r="33" spans="1:77">
      <c r="A33" s="130">
        <v>32</v>
      </c>
      <c r="B33" s="131" t="s">
        <v>368</v>
      </c>
      <c r="C33" s="132" t="s">
        <v>369</v>
      </c>
      <c r="D33" s="132" t="s">
        <v>87</v>
      </c>
      <c r="E33" s="133">
        <v>623.10555555555561</v>
      </c>
      <c r="F33" s="133">
        <v>69.75</v>
      </c>
      <c r="G33" s="134">
        <v>609</v>
      </c>
      <c r="H33" s="134">
        <v>4277</v>
      </c>
      <c r="I33" s="134">
        <v>1363</v>
      </c>
      <c r="J33" s="134">
        <v>2544</v>
      </c>
      <c r="K33" s="134">
        <v>8793</v>
      </c>
      <c r="L33" s="134">
        <v>8184</v>
      </c>
      <c r="M33" s="134">
        <v>6249</v>
      </c>
      <c r="N33" s="134">
        <v>61</v>
      </c>
      <c r="O33" s="132">
        <v>613.67777777777781</v>
      </c>
      <c r="P33" s="132">
        <v>721.37222222222226</v>
      </c>
      <c r="Q33" s="132">
        <v>702.71111111111111</v>
      </c>
      <c r="R33" s="132">
        <v>716.58888888888885</v>
      </c>
      <c r="S33" s="132">
        <v>723.04444444444448</v>
      </c>
      <c r="T33" s="132">
        <v>718.34444444444443</v>
      </c>
      <c r="U33" s="132">
        <v>701.0333333333333</v>
      </c>
      <c r="V33" s="132">
        <v>695.01111111111106</v>
      </c>
      <c r="W33" s="132">
        <v>664.26666666666665</v>
      </c>
      <c r="X33" s="132">
        <v>650.80555555555554</v>
      </c>
      <c r="Y33" s="132">
        <v>660.63333333333333</v>
      </c>
      <c r="Z33" s="132">
        <v>589.85555555555561</v>
      </c>
      <c r="AA33" s="132">
        <v>595.47777777777776</v>
      </c>
      <c r="AB33" s="132">
        <v>4283.0944444444449</v>
      </c>
      <c r="AC33" s="132">
        <v>1359.2777777777778</v>
      </c>
      <c r="AD33" s="132">
        <v>2496.7722222222224</v>
      </c>
      <c r="AE33" s="132">
        <v>6256.0499999999993</v>
      </c>
      <c r="AF33" s="132">
        <v>8139.1444444444451</v>
      </c>
      <c r="AG33" s="132">
        <v>8752.8222222222212</v>
      </c>
      <c r="AH33" s="133">
        <v>640.81111111111113</v>
      </c>
      <c r="AI33" s="133">
        <v>56.75</v>
      </c>
      <c r="AJ33" s="133">
        <v>697.56111111111113</v>
      </c>
      <c r="AK33" s="134">
        <v>564</v>
      </c>
      <c r="AL33" s="139">
        <v>640</v>
      </c>
      <c r="AM33" s="132">
        <v>713</v>
      </c>
      <c r="AN33" s="132">
        <v>679</v>
      </c>
      <c r="AO33" s="132">
        <v>722</v>
      </c>
      <c r="AP33" s="132">
        <v>703</v>
      </c>
      <c r="AQ33" s="132">
        <v>715</v>
      </c>
      <c r="AR33" s="132">
        <v>684</v>
      </c>
      <c r="AS33" s="132">
        <v>689</v>
      </c>
      <c r="AT33" s="132">
        <v>624</v>
      </c>
      <c r="AU33" s="132">
        <v>666</v>
      </c>
      <c r="AV33" s="132">
        <v>666</v>
      </c>
      <c r="AW33" s="132">
        <v>602</v>
      </c>
      <c r="AX33" s="132">
        <v>4172</v>
      </c>
      <c r="AY33" s="132">
        <v>1373</v>
      </c>
      <c r="AZ33" s="132">
        <v>2558</v>
      </c>
      <c r="BA33" s="132">
        <v>6109</v>
      </c>
      <c r="BB33" s="132">
        <v>8103</v>
      </c>
      <c r="BC33" s="132">
        <v>8667</v>
      </c>
      <c r="BD33" s="132">
        <v>558</v>
      </c>
      <c r="BE33" s="132">
        <v>6</v>
      </c>
      <c r="BF33" s="132">
        <v>1</v>
      </c>
      <c r="BG33" s="132">
        <v>2046</v>
      </c>
      <c r="BH33" s="132">
        <v>619</v>
      </c>
      <c r="BI33" s="134">
        <v>61</v>
      </c>
      <c r="BJ33" s="134">
        <v>680</v>
      </c>
      <c r="BK33" s="134">
        <v>914</v>
      </c>
      <c r="BL33" s="134">
        <v>573</v>
      </c>
      <c r="BM33" s="134">
        <v>7975</v>
      </c>
      <c r="BN33" s="133"/>
      <c r="BO33" s="133"/>
      <c r="BP33" s="133"/>
      <c r="BQ33" s="134">
        <v>8548</v>
      </c>
      <c r="BR33" s="135">
        <v>9.2540267016940403E-2</v>
      </c>
      <c r="BS33" s="136">
        <v>495.30699999999979</v>
      </c>
      <c r="BT33" s="136">
        <v>479.30699999999979</v>
      </c>
      <c r="BU33" s="136">
        <v>444.31699999999984</v>
      </c>
      <c r="BV33" s="136">
        <v>493.80699999999985</v>
      </c>
      <c r="BW33" s="137">
        <v>1946</v>
      </c>
      <c r="BX33" s="137">
        <v>997</v>
      </c>
      <c r="BY33" s="138">
        <v>1332.25</v>
      </c>
    </row>
    <row r="34" spans="1:77">
      <c r="A34" s="130">
        <v>33</v>
      </c>
      <c r="B34" s="131" t="s">
        <v>370</v>
      </c>
      <c r="C34" s="132" t="s">
        <v>371</v>
      </c>
      <c r="D34" s="132" t="s">
        <v>87</v>
      </c>
      <c r="E34" s="133">
        <v>3919.2388888888891</v>
      </c>
      <c r="F34" s="133">
        <v>447.63333333333333</v>
      </c>
      <c r="G34" s="134">
        <v>2419</v>
      </c>
      <c r="H34" s="134">
        <v>16305</v>
      </c>
      <c r="I34" s="134">
        <v>6059</v>
      </c>
      <c r="J34" s="134">
        <v>11840</v>
      </c>
      <c r="K34" s="134">
        <v>36623</v>
      </c>
      <c r="L34" s="134">
        <v>34204</v>
      </c>
      <c r="M34" s="134">
        <v>24783</v>
      </c>
      <c r="N34" s="134">
        <v>441</v>
      </c>
      <c r="O34" s="132">
        <v>2210.0833333333335</v>
      </c>
      <c r="P34" s="132">
        <v>2355.3444444444444</v>
      </c>
      <c r="Q34" s="132">
        <v>2399.75</v>
      </c>
      <c r="R34" s="132">
        <v>2484.2111111111112</v>
      </c>
      <c r="S34" s="132">
        <v>2450.6777777777779</v>
      </c>
      <c r="T34" s="132">
        <v>2432.0611111111111</v>
      </c>
      <c r="U34" s="132">
        <v>2646.0388888888888</v>
      </c>
      <c r="V34" s="132">
        <v>2682.3055555555557</v>
      </c>
      <c r="W34" s="132">
        <v>2891.4055555555556</v>
      </c>
      <c r="X34" s="132">
        <v>2963.4222222222224</v>
      </c>
      <c r="Y34" s="132">
        <v>2955.7888888888888</v>
      </c>
      <c r="Z34" s="132">
        <v>2917.5833333333335</v>
      </c>
      <c r="AA34" s="132">
        <v>2541.7944444444443</v>
      </c>
      <c r="AB34" s="132">
        <v>14768.083333333332</v>
      </c>
      <c r="AC34" s="132">
        <v>5573.7111111111117</v>
      </c>
      <c r="AD34" s="132">
        <v>11378.588888888889</v>
      </c>
      <c r="AE34" s="132">
        <v>22551.877777777776</v>
      </c>
      <c r="AF34" s="132">
        <v>31720.383333333331</v>
      </c>
      <c r="AG34" s="132">
        <v>33930.466666666667</v>
      </c>
      <c r="AH34" s="133">
        <v>4048.6444444444446</v>
      </c>
      <c r="AI34" s="133">
        <v>464.70555555555558</v>
      </c>
      <c r="AJ34" s="133">
        <v>4513.3500000000004</v>
      </c>
      <c r="AK34" s="134">
        <v>2287</v>
      </c>
      <c r="AL34" s="139">
        <v>2616</v>
      </c>
      <c r="AM34" s="132">
        <v>2734</v>
      </c>
      <c r="AN34" s="132">
        <v>2712</v>
      </c>
      <c r="AO34" s="132">
        <v>2796</v>
      </c>
      <c r="AP34" s="132">
        <v>2764</v>
      </c>
      <c r="AQ34" s="132">
        <v>2760</v>
      </c>
      <c r="AR34" s="132">
        <v>2866</v>
      </c>
      <c r="AS34" s="132">
        <v>3113</v>
      </c>
      <c r="AT34" s="132">
        <v>2995</v>
      </c>
      <c r="AU34" s="132">
        <v>3089</v>
      </c>
      <c r="AV34" s="132">
        <v>3081</v>
      </c>
      <c r="AW34" s="132">
        <v>2940</v>
      </c>
      <c r="AX34" s="132">
        <v>16382</v>
      </c>
      <c r="AY34" s="132">
        <v>5979</v>
      </c>
      <c r="AZ34" s="132">
        <v>12105</v>
      </c>
      <c r="BA34" s="132">
        <v>24648</v>
      </c>
      <c r="BB34" s="132">
        <v>34466</v>
      </c>
      <c r="BC34" s="132">
        <v>36753</v>
      </c>
      <c r="BD34" s="132">
        <v>1947</v>
      </c>
      <c r="BE34" s="132">
        <v>340</v>
      </c>
      <c r="BF34" s="132">
        <v>7</v>
      </c>
      <c r="BG34" s="132">
        <v>10947</v>
      </c>
      <c r="BH34" s="132">
        <v>4039</v>
      </c>
      <c r="BI34" s="134">
        <v>499</v>
      </c>
      <c r="BJ34" s="134">
        <v>4538</v>
      </c>
      <c r="BK34" s="134">
        <v>2255</v>
      </c>
      <c r="BL34" s="134">
        <v>2437.5995222065367</v>
      </c>
      <c r="BM34" s="134">
        <v>34498.400477793468</v>
      </c>
      <c r="BN34" s="133"/>
      <c r="BO34" s="133"/>
      <c r="BP34" s="133"/>
      <c r="BQ34" s="134">
        <v>36936.000000000007</v>
      </c>
      <c r="BR34" s="135">
        <v>9.4979071088689582E-2</v>
      </c>
      <c r="BS34" s="136">
        <v>1939.2979999999995</v>
      </c>
      <c r="BT34" s="136">
        <v>1865.1579999999994</v>
      </c>
      <c r="BU34" s="136">
        <v>1752.9199999999996</v>
      </c>
      <c r="BV34" s="136">
        <v>1918.3999999999992</v>
      </c>
      <c r="BW34" s="137">
        <v>1506</v>
      </c>
      <c r="BX34" s="137">
        <v>708</v>
      </c>
      <c r="BY34" s="138">
        <v>1530.833333</v>
      </c>
    </row>
    <row r="35" spans="1:77">
      <c r="A35" s="130">
        <v>34</v>
      </c>
      <c r="B35" s="131" t="s">
        <v>372</v>
      </c>
      <c r="C35" s="132" t="s">
        <v>373</v>
      </c>
      <c r="D35" s="132" t="s">
        <v>87</v>
      </c>
      <c r="E35" s="133">
        <v>53.072222222222223</v>
      </c>
      <c r="F35" s="133">
        <v>2</v>
      </c>
      <c r="G35" s="134">
        <v>33</v>
      </c>
      <c r="H35" s="134">
        <v>210</v>
      </c>
      <c r="I35" s="134">
        <v>55</v>
      </c>
      <c r="J35" s="134">
        <v>140</v>
      </c>
      <c r="K35" s="134">
        <v>438</v>
      </c>
      <c r="L35" s="134">
        <v>405</v>
      </c>
      <c r="M35" s="134">
        <v>298</v>
      </c>
      <c r="N35" s="134">
        <v>3</v>
      </c>
      <c r="O35" s="132">
        <v>30.15</v>
      </c>
      <c r="P35" s="132">
        <v>34.222222222222221</v>
      </c>
      <c r="Q35" s="132">
        <v>37.533333333333331</v>
      </c>
      <c r="R35" s="132">
        <v>42.927777777777777</v>
      </c>
      <c r="S35" s="132">
        <v>29.216666666666665</v>
      </c>
      <c r="T35" s="132">
        <v>29.666666666666668</v>
      </c>
      <c r="U35" s="132">
        <v>33.011111111111113</v>
      </c>
      <c r="V35" s="132">
        <v>35.033333333333331</v>
      </c>
      <c r="W35" s="132">
        <v>20.833333333333332</v>
      </c>
      <c r="X35" s="132">
        <v>37.15</v>
      </c>
      <c r="Y35" s="132">
        <v>32.027777777777779</v>
      </c>
      <c r="Z35" s="132">
        <v>31.7</v>
      </c>
      <c r="AA35" s="132">
        <v>30.066666666666666</v>
      </c>
      <c r="AB35" s="132">
        <v>206.57777777777778</v>
      </c>
      <c r="AC35" s="132">
        <v>55.86666666666666</v>
      </c>
      <c r="AD35" s="132">
        <v>130.94444444444446</v>
      </c>
      <c r="AE35" s="132">
        <v>292.59444444444438</v>
      </c>
      <c r="AF35" s="132">
        <v>393.38888888888886</v>
      </c>
      <c r="AG35" s="132">
        <v>423.53888888888878</v>
      </c>
      <c r="AH35" s="133">
        <v>57.733333333333334</v>
      </c>
      <c r="AI35" s="133">
        <v>3</v>
      </c>
      <c r="AJ35" s="133">
        <v>60.733333333333334</v>
      </c>
      <c r="AK35" s="134">
        <v>30</v>
      </c>
      <c r="AL35" s="139">
        <v>28</v>
      </c>
      <c r="AM35" s="132">
        <v>33</v>
      </c>
      <c r="AN35" s="132">
        <v>35</v>
      </c>
      <c r="AO35" s="132">
        <v>41</v>
      </c>
      <c r="AP35" s="132">
        <v>28</v>
      </c>
      <c r="AQ35" s="132">
        <v>28</v>
      </c>
      <c r="AR35" s="132">
        <v>31</v>
      </c>
      <c r="AS35" s="132">
        <v>34</v>
      </c>
      <c r="AT35" s="132">
        <v>22</v>
      </c>
      <c r="AU35" s="132">
        <v>35</v>
      </c>
      <c r="AV35" s="132">
        <v>28</v>
      </c>
      <c r="AW35" s="132">
        <v>29</v>
      </c>
      <c r="AX35" s="132">
        <v>193</v>
      </c>
      <c r="AY35" s="132">
        <v>65</v>
      </c>
      <c r="AZ35" s="132">
        <v>114</v>
      </c>
      <c r="BA35" s="132">
        <v>288</v>
      </c>
      <c r="BB35" s="132">
        <v>372</v>
      </c>
      <c r="BC35" s="132">
        <v>402</v>
      </c>
      <c r="BD35" s="132">
        <v>28</v>
      </c>
      <c r="BE35" s="132">
        <v>2</v>
      </c>
      <c r="BF35" s="132">
        <v>0</v>
      </c>
      <c r="BG35" s="132">
        <v>188</v>
      </c>
      <c r="BH35" s="132">
        <v>56</v>
      </c>
      <c r="BI35" s="134">
        <v>2</v>
      </c>
      <c r="BJ35" s="134">
        <v>58</v>
      </c>
      <c r="BK35" s="134">
        <v>7</v>
      </c>
      <c r="BL35" s="134">
        <v>28.614130434782613</v>
      </c>
      <c r="BM35" s="134">
        <v>361.38586956521738</v>
      </c>
      <c r="BN35" s="133"/>
      <c r="BO35" s="133"/>
      <c r="BP35" s="133"/>
      <c r="BQ35" s="134">
        <v>390</v>
      </c>
      <c r="BR35" s="135">
        <v>8.4940665958200434E-2</v>
      </c>
      <c r="BS35" s="136">
        <v>36.224999999999994</v>
      </c>
      <c r="BT35" s="136">
        <v>33.475000000000001</v>
      </c>
      <c r="BU35" s="136">
        <v>32.474999999999994</v>
      </c>
      <c r="BV35" s="136">
        <v>36.825000000000003</v>
      </c>
      <c r="BW35" s="137">
        <v>0</v>
      </c>
      <c r="BX35" s="137">
        <v>0</v>
      </c>
      <c r="BY35" s="138">
        <v>0</v>
      </c>
    </row>
    <row r="36" spans="1:77">
      <c r="A36" s="130">
        <v>35</v>
      </c>
      <c r="B36" s="131" t="s">
        <v>374</v>
      </c>
      <c r="C36" s="132" t="s">
        <v>375</v>
      </c>
      <c r="D36" s="132" t="s">
        <v>87</v>
      </c>
      <c r="E36" s="133">
        <v>3832.1166666666668</v>
      </c>
      <c r="F36" s="133">
        <v>466.94444444444446</v>
      </c>
      <c r="G36" s="134">
        <v>2057</v>
      </c>
      <c r="H36" s="134">
        <v>14252</v>
      </c>
      <c r="I36" s="134">
        <v>5372</v>
      </c>
      <c r="J36" s="134">
        <v>10876</v>
      </c>
      <c r="K36" s="134">
        <v>32557</v>
      </c>
      <c r="L36" s="134">
        <v>30500</v>
      </c>
      <c r="M36" s="134">
        <v>21681</v>
      </c>
      <c r="N36" s="134">
        <v>488</v>
      </c>
      <c r="O36" s="132">
        <v>2003.088888888889</v>
      </c>
      <c r="P36" s="132">
        <v>2323.4888888888891</v>
      </c>
      <c r="Q36" s="132">
        <v>2284.1055555555554</v>
      </c>
      <c r="R36" s="132">
        <v>2265.9055555555556</v>
      </c>
      <c r="S36" s="132">
        <v>2350.9166666666665</v>
      </c>
      <c r="T36" s="132">
        <v>2416.3444444444444</v>
      </c>
      <c r="U36" s="132">
        <v>2406.4277777777779</v>
      </c>
      <c r="V36" s="132">
        <v>2649.7388888888891</v>
      </c>
      <c r="W36" s="132">
        <v>2624.6333333333332</v>
      </c>
      <c r="X36" s="132">
        <v>2834.1555555555556</v>
      </c>
      <c r="Y36" s="132">
        <v>2694.6166666666668</v>
      </c>
      <c r="Z36" s="132">
        <v>2463.9777777777776</v>
      </c>
      <c r="AA36" s="132">
        <v>2353.0333333333333</v>
      </c>
      <c r="AB36" s="132">
        <v>14047.18888888889</v>
      </c>
      <c r="AC36" s="132">
        <v>5274.3722222222223</v>
      </c>
      <c r="AD36" s="132">
        <v>10345.783333333333</v>
      </c>
      <c r="AE36" s="132">
        <v>21324.65</v>
      </c>
      <c r="AF36" s="132">
        <v>29667.344444444447</v>
      </c>
      <c r="AG36" s="132">
        <v>31670.433333333334</v>
      </c>
      <c r="AH36" s="133">
        <v>3897.4555555555557</v>
      </c>
      <c r="AI36" s="133">
        <v>451.21666666666664</v>
      </c>
      <c r="AJ36" s="133">
        <v>4348.6722222222224</v>
      </c>
      <c r="AK36" s="134">
        <v>1923</v>
      </c>
      <c r="AL36" s="139">
        <v>2144</v>
      </c>
      <c r="AM36" s="132">
        <v>2382</v>
      </c>
      <c r="AN36" s="132">
        <v>2346</v>
      </c>
      <c r="AO36" s="132">
        <v>2319</v>
      </c>
      <c r="AP36" s="132">
        <v>2415</v>
      </c>
      <c r="AQ36" s="132">
        <v>2455</v>
      </c>
      <c r="AR36" s="132">
        <v>2616</v>
      </c>
      <c r="AS36" s="132">
        <v>2704</v>
      </c>
      <c r="AT36" s="132">
        <v>2645</v>
      </c>
      <c r="AU36" s="132">
        <v>2853</v>
      </c>
      <c r="AV36" s="132">
        <v>2741</v>
      </c>
      <c r="AW36" s="132">
        <v>2560</v>
      </c>
      <c r="AX36" s="132">
        <v>14061</v>
      </c>
      <c r="AY36" s="132">
        <v>5320</v>
      </c>
      <c r="AZ36" s="132">
        <v>10799</v>
      </c>
      <c r="BA36" s="132">
        <v>21304</v>
      </c>
      <c r="BB36" s="132">
        <v>30180</v>
      </c>
      <c r="BC36" s="132">
        <v>32103</v>
      </c>
      <c r="BD36" s="132">
        <v>1813</v>
      </c>
      <c r="BE36" s="132">
        <v>110</v>
      </c>
      <c r="BF36" s="132">
        <v>23</v>
      </c>
      <c r="BG36" s="132">
        <v>9744</v>
      </c>
      <c r="BH36" s="132">
        <v>3901</v>
      </c>
      <c r="BI36" s="134">
        <v>466</v>
      </c>
      <c r="BJ36" s="134">
        <v>4367</v>
      </c>
      <c r="BK36" s="134">
        <v>1486</v>
      </c>
      <c r="BL36" s="134">
        <v>2021</v>
      </c>
      <c r="BM36" s="134">
        <v>29822</v>
      </c>
      <c r="BN36" s="133"/>
      <c r="BO36" s="133"/>
      <c r="BP36" s="133"/>
      <c r="BQ36" s="134">
        <v>31843</v>
      </c>
      <c r="BR36" s="135">
        <v>9.4484030563907029E-2</v>
      </c>
      <c r="BS36" s="136">
        <v>1776.5059999999992</v>
      </c>
      <c r="BT36" s="136">
        <v>1700.7959999999991</v>
      </c>
      <c r="BU36" s="136">
        <v>1621.2938000000001</v>
      </c>
      <c r="BV36" s="136">
        <v>1780.2060000000004</v>
      </c>
      <c r="BW36" s="137">
        <v>14</v>
      </c>
      <c r="BX36" s="137">
        <v>20</v>
      </c>
      <c r="BY36" s="138">
        <v>491.955555</v>
      </c>
    </row>
    <row r="37" spans="1:77">
      <c r="A37" s="130">
        <v>36</v>
      </c>
      <c r="B37" s="131" t="s">
        <v>376</v>
      </c>
      <c r="C37" s="132" t="s">
        <v>377</v>
      </c>
      <c r="D37" s="132" t="s">
        <v>87</v>
      </c>
      <c r="E37" s="133">
        <v>1896.2444444444445</v>
      </c>
      <c r="F37" s="133">
        <v>600.01111111111106</v>
      </c>
      <c r="G37" s="134">
        <v>1369</v>
      </c>
      <c r="H37" s="134">
        <v>8244</v>
      </c>
      <c r="I37" s="134">
        <v>2914</v>
      </c>
      <c r="J37" s="134">
        <v>6922</v>
      </c>
      <c r="K37" s="134">
        <v>19449</v>
      </c>
      <c r="L37" s="134">
        <v>18080</v>
      </c>
      <c r="M37" s="134">
        <v>12527</v>
      </c>
      <c r="N37" s="134">
        <v>560</v>
      </c>
      <c r="O37" s="132">
        <v>1342.5222222222221</v>
      </c>
      <c r="P37" s="132">
        <v>1384.65</v>
      </c>
      <c r="Q37" s="132">
        <v>1305.3222222222223</v>
      </c>
      <c r="R37" s="132">
        <v>1389.9833333333333</v>
      </c>
      <c r="S37" s="132">
        <v>1382.55</v>
      </c>
      <c r="T37" s="132">
        <v>1245.6277777777777</v>
      </c>
      <c r="U37" s="132">
        <v>1357.9611111111112</v>
      </c>
      <c r="V37" s="132">
        <v>1355.4222222222222</v>
      </c>
      <c r="W37" s="132">
        <v>1486.7888888888888</v>
      </c>
      <c r="X37" s="132">
        <v>1631.6944444444443</v>
      </c>
      <c r="Y37" s="132">
        <v>1647.1333333333334</v>
      </c>
      <c r="Z37" s="132">
        <v>1655.3944444444444</v>
      </c>
      <c r="AA37" s="132">
        <v>1539.5722222222223</v>
      </c>
      <c r="AB37" s="132">
        <v>8066.0944444444449</v>
      </c>
      <c r="AC37" s="132">
        <v>2842.2111111111108</v>
      </c>
      <c r="AD37" s="132">
        <v>6473.7944444444438</v>
      </c>
      <c r="AE37" s="132">
        <v>12250.827777777777</v>
      </c>
      <c r="AF37" s="132">
        <v>17382.099999999999</v>
      </c>
      <c r="AG37" s="132">
        <v>18724.62222222222</v>
      </c>
      <c r="AH37" s="133">
        <v>1988.8833333333334</v>
      </c>
      <c r="AI37" s="133">
        <v>575.25</v>
      </c>
      <c r="AJ37" s="133">
        <v>2564.1333333333332</v>
      </c>
      <c r="AK37" s="134">
        <v>1240</v>
      </c>
      <c r="AL37" s="139">
        <v>1387</v>
      </c>
      <c r="AM37" s="132">
        <v>1422</v>
      </c>
      <c r="AN37" s="132">
        <v>1347</v>
      </c>
      <c r="AO37" s="132">
        <v>1430</v>
      </c>
      <c r="AP37" s="132">
        <v>1352</v>
      </c>
      <c r="AQ37" s="132">
        <v>1278</v>
      </c>
      <c r="AR37" s="132">
        <v>1383</v>
      </c>
      <c r="AS37" s="132">
        <v>1379</v>
      </c>
      <c r="AT37" s="132">
        <v>1629</v>
      </c>
      <c r="AU37" s="132">
        <v>1721</v>
      </c>
      <c r="AV37" s="132">
        <v>1678</v>
      </c>
      <c r="AW37" s="132">
        <v>1720</v>
      </c>
      <c r="AX37" s="132">
        <v>8216</v>
      </c>
      <c r="AY37" s="132">
        <v>2762</v>
      </c>
      <c r="AZ37" s="132">
        <v>6748</v>
      </c>
      <c r="BA37" s="132">
        <v>12218</v>
      </c>
      <c r="BB37" s="132">
        <v>17726</v>
      </c>
      <c r="BC37" s="132">
        <v>18966</v>
      </c>
      <c r="BD37" s="132">
        <v>1229</v>
      </c>
      <c r="BE37" s="132">
        <v>11</v>
      </c>
      <c r="BF37" s="132">
        <v>16</v>
      </c>
      <c r="BG37" s="132">
        <v>10263</v>
      </c>
      <c r="BH37" s="132">
        <v>1936</v>
      </c>
      <c r="BI37" s="134">
        <v>588</v>
      </c>
      <c r="BJ37" s="134">
        <v>2524</v>
      </c>
      <c r="BK37" s="134">
        <v>4091</v>
      </c>
      <c r="BL37" s="134">
        <v>1233.662573411639</v>
      </c>
      <c r="BM37" s="134">
        <v>17266.337426588361</v>
      </c>
      <c r="BN37" s="133"/>
      <c r="BO37" s="133"/>
      <c r="BP37" s="133"/>
      <c r="BQ37" s="134">
        <v>18500</v>
      </c>
      <c r="BR37" s="135">
        <v>0.1127288653728295</v>
      </c>
      <c r="BS37" s="136">
        <v>1391.7259999999994</v>
      </c>
      <c r="BT37" s="136">
        <v>1314.2979999999995</v>
      </c>
      <c r="BU37" s="136">
        <v>1181.4399999999996</v>
      </c>
      <c r="BV37" s="136">
        <v>1356.6310000000003</v>
      </c>
      <c r="BW37" s="137">
        <v>0</v>
      </c>
      <c r="BX37" s="137">
        <v>0</v>
      </c>
      <c r="BY37" s="138">
        <v>0</v>
      </c>
    </row>
    <row r="38" spans="1:77">
      <c r="A38" s="130">
        <v>37</v>
      </c>
      <c r="B38" s="131" t="s">
        <v>378</v>
      </c>
      <c r="C38" s="132" t="s">
        <v>379</v>
      </c>
      <c r="D38" s="132" t="s">
        <v>87</v>
      </c>
      <c r="E38" s="133">
        <v>1016.9</v>
      </c>
      <c r="F38" s="133">
        <v>297.54444444444442</v>
      </c>
      <c r="G38" s="134">
        <v>729</v>
      </c>
      <c r="H38" s="134">
        <v>4764</v>
      </c>
      <c r="I38" s="134">
        <v>1383</v>
      </c>
      <c r="J38" s="134">
        <v>3370</v>
      </c>
      <c r="K38" s="134">
        <v>10246</v>
      </c>
      <c r="L38" s="134">
        <v>9517</v>
      </c>
      <c r="M38" s="134">
        <v>6876</v>
      </c>
      <c r="N38" s="134">
        <v>290</v>
      </c>
      <c r="O38" s="132">
        <v>706.56111111111113</v>
      </c>
      <c r="P38" s="132">
        <v>804.08333333333337</v>
      </c>
      <c r="Q38" s="132">
        <v>746.79444444444448</v>
      </c>
      <c r="R38" s="132">
        <v>760.7833333333333</v>
      </c>
      <c r="S38" s="132">
        <v>780.32222222222219</v>
      </c>
      <c r="T38" s="132">
        <v>757.76666666666665</v>
      </c>
      <c r="U38" s="132">
        <v>794.00555555555559</v>
      </c>
      <c r="V38" s="132">
        <v>630.27777777777783</v>
      </c>
      <c r="W38" s="132">
        <v>696.13333333333333</v>
      </c>
      <c r="X38" s="132">
        <v>792.76111111111106</v>
      </c>
      <c r="Y38" s="132">
        <v>787.41111111111115</v>
      </c>
      <c r="Z38" s="132">
        <v>843.05</v>
      </c>
      <c r="AA38" s="132">
        <v>760.31111111111113</v>
      </c>
      <c r="AB38" s="132">
        <v>4643.7555555555555</v>
      </c>
      <c r="AC38" s="132">
        <v>1326.411111111111</v>
      </c>
      <c r="AD38" s="132">
        <v>3183.5333333333333</v>
      </c>
      <c r="AE38" s="132">
        <v>6676.7277777777781</v>
      </c>
      <c r="AF38" s="132">
        <v>9153.7000000000007</v>
      </c>
      <c r="AG38" s="132">
        <v>9860.2611111111109</v>
      </c>
      <c r="AH38" s="133">
        <v>1047.9444444444443</v>
      </c>
      <c r="AI38" s="133">
        <v>304.54444444444442</v>
      </c>
      <c r="AJ38" s="133">
        <v>1352.4888888888888</v>
      </c>
      <c r="AK38" s="134">
        <v>783</v>
      </c>
      <c r="AL38" s="139">
        <v>740</v>
      </c>
      <c r="AM38" s="132">
        <v>808</v>
      </c>
      <c r="AN38" s="132">
        <v>750</v>
      </c>
      <c r="AO38" s="132">
        <v>742</v>
      </c>
      <c r="AP38" s="132">
        <v>789</v>
      </c>
      <c r="AQ38" s="132">
        <v>728</v>
      </c>
      <c r="AR38" s="132">
        <v>758</v>
      </c>
      <c r="AS38" s="132">
        <v>648</v>
      </c>
      <c r="AT38" s="132">
        <v>740</v>
      </c>
      <c r="AU38" s="132">
        <v>963</v>
      </c>
      <c r="AV38" s="132">
        <v>825</v>
      </c>
      <c r="AW38" s="132">
        <v>877</v>
      </c>
      <c r="AX38" s="132">
        <v>4557</v>
      </c>
      <c r="AY38" s="132">
        <v>1406</v>
      </c>
      <c r="AZ38" s="132">
        <v>3405</v>
      </c>
      <c r="BA38" s="132">
        <v>6746</v>
      </c>
      <c r="BB38" s="132">
        <v>9368</v>
      </c>
      <c r="BC38" s="132">
        <v>10151</v>
      </c>
      <c r="BD38" s="132">
        <v>773</v>
      </c>
      <c r="BE38" s="132">
        <v>10</v>
      </c>
      <c r="BF38" s="132">
        <v>6</v>
      </c>
      <c r="BG38" s="132">
        <v>6183</v>
      </c>
      <c r="BH38" s="132">
        <v>999</v>
      </c>
      <c r="BI38" s="134">
        <v>302</v>
      </c>
      <c r="BJ38" s="134">
        <v>1301</v>
      </c>
      <c r="BK38" s="134">
        <v>1910</v>
      </c>
      <c r="BL38" s="134">
        <v>795</v>
      </c>
      <c r="BM38" s="134">
        <v>9287</v>
      </c>
      <c r="BN38" s="133"/>
      <c r="BO38" s="133"/>
      <c r="BP38" s="133"/>
      <c r="BQ38" s="134">
        <v>10082</v>
      </c>
      <c r="BR38" s="135">
        <v>8.4426136547746666E-2</v>
      </c>
      <c r="BS38" s="136">
        <v>709.48199999999986</v>
      </c>
      <c r="BT38" s="136">
        <v>670.48199999999997</v>
      </c>
      <c r="BU38" s="136">
        <v>604.76900000000001</v>
      </c>
      <c r="BV38" s="136">
        <v>682.98199999999997</v>
      </c>
      <c r="BW38" s="137">
        <v>520</v>
      </c>
      <c r="BX38" s="137">
        <v>0</v>
      </c>
      <c r="BY38" s="138">
        <v>0</v>
      </c>
    </row>
    <row r="39" spans="1:77">
      <c r="A39" s="130">
        <v>38</v>
      </c>
      <c r="B39" s="131" t="s">
        <v>380</v>
      </c>
      <c r="C39" s="132" t="s">
        <v>381</v>
      </c>
      <c r="D39" s="132" t="s">
        <v>87</v>
      </c>
      <c r="E39" s="133">
        <v>1370.95</v>
      </c>
      <c r="F39" s="133">
        <v>244.76666666666668</v>
      </c>
      <c r="G39" s="134">
        <v>958</v>
      </c>
      <c r="H39" s="134">
        <v>5976</v>
      </c>
      <c r="I39" s="134">
        <v>2066</v>
      </c>
      <c r="J39" s="134">
        <v>4612</v>
      </c>
      <c r="K39" s="134">
        <v>13612</v>
      </c>
      <c r="L39" s="134">
        <v>12654</v>
      </c>
      <c r="M39" s="134">
        <v>9000</v>
      </c>
      <c r="N39" s="134">
        <v>254</v>
      </c>
      <c r="O39" s="132">
        <v>944.76666666666665</v>
      </c>
      <c r="P39" s="132">
        <v>974.9666666666667</v>
      </c>
      <c r="Q39" s="132">
        <v>984.5333333333333</v>
      </c>
      <c r="R39" s="132">
        <v>993.26111111111106</v>
      </c>
      <c r="S39" s="132">
        <v>991.17222222222222</v>
      </c>
      <c r="T39" s="132">
        <v>927.66666666666663</v>
      </c>
      <c r="U39" s="132">
        <v>1015.6333333333333</v>
      </c>
      <c r="V39" s="132">
        <v>980.85</v>
      </c>
      <c r="W39" s="132">
        <v>1025.8444444444444</v>
      </c>
      <c r="X39" s="132">
        <v>1137.7111111111112</v>
      </c>
      <c r="Y39" s="132">
        <v>1200.8333333333333</v>
      </c>
      <c r="Z39" s="132">
        <v>1068.8333333333333</v>
      </c>
      <c r="AA39" s="132">
        <v>1043.6777777777777</v>
      </c>
      <c r="AB39" s="132">
        <v>5887.2333333333336</v>
      </c>
      <c r="AC39" s="132">
        <v>2006.6944444444443</v>
      </c>
      <c r="AD39" s="132">
        <v>4451.0555555555557</v>
      </c>
      <c r="AE39" s="132">
        <v>8838.6944444444453</v>
      </c>
      <c r="AF39" s="132">
        <v>12344.983333333335</v>
      </c>
      <c r="AG39" s="132">
        <v>13289.750000000002</v>
      </c>
      <c r="AH39" s="133">
        <v>1388.1055555555556</v>
      </c>
      <c r="AI39" s="133">
        <v>239.52777777777777</v>
      </c>
      <c r="AJ39" s="133">
        <v>1627.6333333333334</v>
      </c>
      <c r="AK39" s="134">
        <v>969</v>
      </c>
      <c r="AL39" s="139">
        <v>965</v>
      </c>
      <c r="AM39" s="132">
        <v>998</v>
      </c>
      <c r="AN39" s="132">
        <v>981</v>
      </c>
      <c r="AO39" s="132">
        <v>1004</v>
      </c>
      <c r="AP39" s="132">
        <v>1007</v>
      </c>
      <c r="AQ39" s="132">
        <v>951</v>
      </c>
      <c r="AR39" s="132">
        <v>1024</v>
      </c>
      <c r="AS39" s="132">
        <v>1003</v>
      </c>
      <c r="AT39" s="132">
        <v>1092</v>
      </c>
      <c r="AU39" s="132">
        <v>1170</v>
      </c>
      <c r="AV39" s="132">
        <v>1202</v>
      </c>
      <c r="AW39" s="132">
        <v>1089</v>
      </c>
      <c r="AX39" s="132">
        <v>5906</v>
      </c>
      <c r="AY39" s="132">
        <v>2027</v>
      </c>
      <c r="AZ39" s="132">
        <v>4553</v>
      </c>
      <c r="BA39" s="132">
        <v>8902</v>
      </c>
      <c r="BB39" s="132">
        <v>12486</v>
      </c>
      <c r="BC39" s="132">
        <v>13455</v>
      </c>
      <c r="BD39" s="132">
        <v>904</v>
      </c>
      <c r="BE39" s="132">
        <v>65</v>
      </c>
      <c r="BF39" s="132">
        <v>9</v>
      </c>
      <c r="BG39" s="132">
        <v>5352</v>
      </c>
      <c r="BH39" s="132">
        <v>1339</v>
      </c>
      <c r="BI39" s="134">
        <v>255</v>
      </c>
      <c r="BJ39" s="134">
        <v>1594</v>
      </c>
      <c r="BK39" s="134">
        <v>2564</v>
      </c>
      <c r="BL39" s="134">
        <v>1007.5471698113207</v>
      </c>
      <c r="BM39" s="134">
        <v>12392.45283018868</v>
      </c>
      <c r="BN39" s="133"/>
      <c r="BO39" s="133"/>
      <c r="BP39" s="133"/>
      <c r="BQ39" s="134">
        <v>13400.000000000002</v>
      </c>
      <c r="BR39" s="135">
        <v>7.8438417876671884E-2</v>
      </c>
      <c r="BS39" s="136">
        <v>829.7600000000001</v>
      </c>
      <c r="BT39" s="136">
        <v>794.82300000000009</v>
      </c>
      <c r="BU39" s="136">
        <v>719.87940000000003</v>
      </c>
      <c r="BV39" s="136">
        <v>806.46599999999989</v>
      </c>
      <c r="BW39" s="137">
        <v>80</v>
      </c>
      <c r="BX39" s="137">
        <v>22</v>
      </c>
      <c r="BY39" s="138">
        <v>276.294444</v>
      </c>
    </row>
    <row r="40" spans="1:77">
      <c r="A40" s="130">
        <v>39</v>
      </c>
      <c r="B40" s="131" t="s">
        <v>382</v>
      </c>
      <c r="C40" s="132" t="s">
        <v>383</v>
      </c>
      <c r="D40" s="132" t="s">
        <v>87</v>
      </c>
      <c r="E40" s="133">
        <v>566.48333333333335</v>
      </c>
      <c r="F40" s="133">
        <v>79.05</v>
      </c>
      <c r="G40" s="134">
        <v>425</v>
      </c>
      <c r="H40" s="134">
        <v>2467</v>
      </c>
      <c r="I40" s="134">
        <v>800</v>
      </c>
      <c r="J40" s="134">
        <v>1451</v>
      </c>
      <c r="K40" s="134">
        <v>5143</v>
      </c>
      <c r="L40" s="134">
        <v>4718</v>
      </c>
      <c r="M40" s="134">
        <v>3692</v>
      </c>
      <c r="N40" s="134">
        <v>95</v>
      </c>
      <c r="O40" s="132">
        <v>416.28333333333336</v>
      </c>
      <c r="P40" s="132">
        <v>426.02222222222224</v>
      </c>
      <c r="Q40" s="132">
        <v>419.25555555555553</v>
      </c>
      <c r="R40" s="132">
        <v>405.52222222222224</v>
      </c>
      <c r="S40" s="132">
        <v>417.08333333333331</v>
      </c>
      <c r="T40" s="132">
        <v>386.9</v>
      </c>
      <c r="U40" s="132">
        <v>350.71666666666664</v>
      </c>
      <c r="V40" s="132">
        <v>399.26666666666665</v>
      </c>
      <c r="W40" s="132">
        <v>378.62222222222221</v>
      </c>
      <c r="X40" s="132">
        <v>369.4111111111111</v>
      </c>
      <c r="Y40" s="132">
        <v>357.70555555555558</v>
      </c>
      <c r="Z40" s="132">
        <v>351.92777777777781</v>
      </c>
      <c r="AA40" s="132">
        <v>320.0888888888889</v>
      </c>
      <c r="AB40" s="132">
        <v>2405.5</v>
      </c>
      <c r="AC40" s="132">
        <v>777.88888888888891</v>
      </c>
      <c r="AD40" s="132">
        <v>1399.1333333333334</v>
      </c>
      <c r="AE40" s="132">
        <v>3599.6722222222224</v>
      </c>
      <c r="AF40" s="132">
        <v>4582.5222222222219</v>
      </c>
      <c r="AG40" s="132">
        <v>4998.8055555555557</v>
      </c>
      <c r="AH40" s="133">
        <v>552.79999999999995</v>
      </c>
      <c r="AI40" s="133">
        <v>93.05</v>
      </c>
      <c r="AJ40" s="133">
        <v>645.84999999999991</v>
      </c>
      <c r="AK40" s="134">
        <v>455</v>
      </c>
      <c r="AL40" s="139">
        <v>420</v>
      </c>
      <c r="AM40" s="132">
        <v>414</v>
      </c>
      <c r="AN40" s="132">
        <v>414</v>
      </c>
      <c r="AO40" s="132">
        <v>402</v>
      </c>
      <c r="AP40" s="132">
        <v>407</v>
      </c>
      <c r="AQ40" s="132">
        <v>359</v>
      </c>
      <c r="AR40" s="132">
        <v>358</v>
      </c>
      <c r="AS40" s="132">
        <v>404</v>
      </c>
      <c r="AT40" s="132">
        <v>398</v>
      </c>
      <c r="AU40" s="132">
        <v>375</v>
      </c>
      <c r="AV40" s="132">
        <v>360</v>
      </c>
      <c r="AW40" s="132">
        <v>364</v>
      </c>
      <c r="AX40" s="132">
        <v>2416</v>
      </c>
      <c r="AY40" s="132">
        <v>762</v>
      </c>
      <c r="AZ40" s="132">
        <v>1497</v>
      </c>
      <c r="BA40" s="132">
        <v>3633</v>
      </c>
      <c r="BB40" s="132">
        <v>4675</v>
      </c>
      <c r="BC40" s="132">
        <v>5130</v>
      </c>
      <c r="BD40" s="132">
        <v>453</v>
      </c>
      <c r="BE40" s="132">
        <v>2</v>
      </c>
      <c r="BF40" s="132">
        <v>4</v>
      </c>
      <c r="BG40" s="132">
        <v>2992</v>
      </c>
      <c r="BH40" s="132">
        <v>524</v>
      </c>
      <c r="BI40" s="134">
        <v>100</v>
      </c>
      <c r="BJ40" s="134">
        <v>624</v>
      </c>
      <c r="BK40" s="134">
        <v>920</v>
      </c>
      <c r="BL40" s="134">
        <v>445</v>
      </c>
      <c r="BM40" s="134">
        <v>4654</v>
      </c>
      <c r="BN40" s="133"/>
      <c r="BO40" s="133"/>
      <c r="BP40" s="133"/>
      <c r="BQ40" s="134">
        <v>5099</v>
      </c>
      <c r="BR40" s="135">
        <v>7.7037087697358064E-2</v>
      </c>
      <c r="BS40" s="136">
        <v>312.34999999999997</v>
      </c>
      <c r="BT40" s="136">
        <v>299.85000000000002</v>
      </c>
      <c r="BU40" s="136">
        <v>280.10000000000002</v>
      </c>
      <c r="BV40" s="136">
        <v>312.34999999999997</v>
      </c>
      <c r="BW40" s="137">
        <v>0</v>
      </c>
      <c r="BX40" s="137">
        <v>0</v>
      </c>
      <c r="BY40" s="138">
        <v>0</v>
      </c>
    </row>
    <row r="41" spans="1:77">
      <c r="A41" s="130">
        <v>40</v>
      </c>
      <c r="B41" s="131" t="s">
        <v>384</v>
      </c>
      <c r="C41" s="132" t="s">
        <v>385</v>
      </c>
      <c r="D41" s="132" t="s">
        <v>87</v>
      </c>
      <c r="E41" s="133">
        <v>820.70555555555552</v>
      </c>
      <c r="F41" s="133">
        <v>74.983333333333334</v>
      </c>
      <c r="G41" s="134">
        <v>416</v>
      </c>
      <c r="H41" s="134">
        <v>2559</v>
      </c>
      <c r="I41" s="134">
        <v>942</v>
      </c>
      <c r="J41" s="134">
        <v>1851</v>
      </c>
      <c r="K41" s="134">
        <v>5768</v>
      </c>
      <c r="L41" s="134">
        <v>5352</v>
      </c>
      <c r="M41" s="134">
        <v>3917</v>
      </c>
      <c r="N41" s="134">
        <v>84</v>
      </c>
      <c r="O41" s="132">
        <v>408.27222222222224</v>
      </c>
      <c r="P41" s="132">
        <v>407.95</v>
      </c>
      <c r="Q41" s="132">
        <v>409.85555555555555</v>
      </c>
      <c r="R41" s="132">
        <v>433.31666666666666</v>
      </c>
      <c r="S41" s="132">
        <v>429.34444444444443</v>
      </c>
      <c r="T41" s="132">
        <v>414.45555555555558</v>
      </c>
      <c r="U41" s="132">
        <v>425.57222222222219</v>
      </c>
      <c r="V41" s="132">
        <v>476.6611111111111</v>
      </c>
      <c r="W41" s="132">
        <v>457.28333333333336</v>
      </c>
      <c r="X41" s="132">
        <v>447.09444444444443</v>
      </c>
      <c r="Y41" s="132">
        <v>460.75555555555553</v>
      </c>
      <c r="Z41" s="132">
        <v>452.03888888888889</v>
      </c>
      <c r="AA41" s="132">
        <v>418.50555555555553</v>
      </c>
      <c r="AB41" s="132">
        <v>2520.4944444444445</v>
      </c>
      <c r="AC41" s="132">
        <v>933.94444444444446</v>
      </c>
      <c r="AD41" s="132">
        <v>1778.3944444444442</v>
      </c>
      <c r="AE41" s="132">
        <v>3862.7111111111112</v>
      </c>
      <c r="AF41" s="132">
        <v>5232.8333333333339</v>
      </c>
      <c r="AG41" s="132">
        <v>5641.1055555555558</v>
      </c>
      <c r="AH41" s="133">
        <v>791.4666666666667</v>
      </c>
      <c r="AI41" s="133">
        <v>80.05</v>
      </c>
      <c r="AJ41" s="133">
        <v>871.51666666666665</v>
      </c>
      <c r="AK41" s="134">
        <v>348</v>
      </c>
      <c r="AL41" s="139">
        <v>422</v>
      </c>
      <c r="AM41" s="132">
        <v>416</v>
      </c>
      <c r="AN41" s="132">
        <v>419</v>
      </c>
      <c r="AO41" s="132">
        <v>440</v>
      </c>
      <c r="AP41" s="132">
        <v>416</v>
      </c>
      <c r="AQ41" s="132">
        <v>404</v>
      </c>
      <c r="AR41" s="132">
        <v>441</v>
      </c>
      <c r="AS41" s="132">
        <v>479</v>
      </c>
      <c r="AT41" s="132">
        <v>445</v>
      </c>
      <c r="AU41" s="132">
        <v>452</v>
      </c>
      <c r="AV41" s="132">
        <v>465</v>
      </c>
      <c r="AW41" s="132">
        <v>454</v>
      </c>
      <c r="AX41" s="132">
        <v>2517</v>
      </c>
      <c r="AY41" s="132">
        <v>920</v>
      </c>
      <c r="AZ41" s="132">
        <v>1816</v>
      </c>
      <c r="BA41" s="132">
        <v>3785</v>
      </c>
      <c r="BB41" s="132">
        <v>5253</v>
      </c>
      <c r="BC41" s="132">
        <v>5601</v>
      </c>
      <c r="BD41" s="132">
        <v>339</v>
      </c>
      <c r="BE41" s="132">
        <v>9</v>
      </c>
      <c r="BF41" s="132">
        <v>6</v>
      </c>
      <c r="BG41" s="132">
        <v>2201</v>
      </c>
      <c r="BH41" s="132">
        <v>745</v>
      </c>
      <c r="BI41" s="134">
        <v>81</v>
      </c>
      <c r="BJ41" s="134">
        <v>826</v>
      </c>
      <c r="BK41" s="134">
        <v>605</v>
      </c>
      <c r="BL41" s="134">
        <v>341</v>
      </c>
      <c r="BM41" s="134">
        <v>5190</v>
      </c>
      <c r="BN41" s="133"/>
      <c r="BO41" s="133"/>
      <c r="BP41" s="133"/>
      <c r="BQ41" s="134">
        <v>5531</v>
      </c>
      <c r="BR41" s="135">
        <v>9.7313073362380209E-2</v>
      </c>
      <c r="BS41" s="136">
        <v>352.31</v>
      </c>
      <c r="BT41" s="136">
        <v>334.31</v>
      </c>
      <c r="BU41" s="136">
        <v>299.56</v>
      </c>
      <c r="BV41" s="136">
        <v>346.60999999999996</v>
      </c>
      <c r="BW41" s="137">
        <v>0</v>
      </c>
      <c r="BX41" s="137">
        <v>0</v>
      </c>
      <c r="BY41" s="138">
        <v>0</v>
      </c>
    </row>
    <row r="42" spans="1:77">
      <c r="A42" s="130">
        <v>41</v>
      </c>
      <c r="B42" s="131">
        <v>410</v>
      </c>
      <c r="C42" s="132" t="s">
        <v>386</v>
      </c>
      <c r="D42" s="132" t="s">
        <v>387</v>
      </c>
      <c r="E42" s="133">
        <v>0</v>
      </c>
      <c r="F42" s="133">
        <v>182.65</v>
      </c>
      <c r="G42" s="134">
        <v>30</v>
      </c>
      <c r="H42" s="134">
        <v>93</v>
      </c>
      <c r="I42" s="134">
        <v>16</v>
      </c>
      <c r="J42" s="134">
        <v>47</v>
      </c>
      <c r="K42" s="134">
        <v>186</v>
      </c>
      <c r="L42" s="134">
        <v>156</v>
      </c>
      <c r="M42" s="134">
        <v>139</v>
      </c>
      <c r="N42" s="134">
        <v>174</v>
      </c>
      <c r="O42" s="132">
        <v>3.2888888888888888</v>
      </c>
      <c r="P42" s="132">
        <v>0.31666666666666665</v>
      </c>
      <c r="Q42" s="132">
        <v>1.6277777777777778</v>
      </c>
      <c r="R42" s="132">
        <v>5.5555555555555558E-3</v>
      </c>
      <c r="S42" s="132">
        <v>0.11666666666666667</v>
      </c>
      <c r="T42" s="132">
        <v>2.3222222222222224</v>
      </c>
      <c r="U42" s="132">
        <v>1.4166666666666667</v>
      </c>
      <c r="V42" s="132">
        <v>1.1111111111111112E-2</v>
      </c>
      <c r="W42" s="132">
        <v>0</v>
      </c>
      <c r="X42" s="132">
        <v>3.3333333333333333E-2</v>
      </c>
      <c r="Y42" s="132">
        <v>2.0444444444444443</v>
      </c>
      <c r="Z42" s="132">
        <v>7.7777777777777779E-2</v>
      </c>
      <c r="AA42" s="132">
        <v>0</v>
      </c>
      <c r="AB42" s="132">
        <v>5.8055555555555562</v>
      </c>
      <c r="AC42" s="132">
        <v>1.1111111111111112E-2</v>
      </c>
      <c r="AD42" s="132">
        <v>2.1555555555555554</v>
      </c>
      <c r="AE42" s="132">
        <v>9.1055555555555543</v>
      </c>
      <c r="AF42" s="132">
        <v>7.9722222222222223</v>
      </c>
      <c r="AG42" s="132">
        <v>11.261111111111109</v>
      </c>
      <c r="AH42" s="133">
        <v>0</v>
      </c>
      <c r="AI42" s="133">
        <v>172.96666666666667</v>
      </c>
      <c r="AJ42" s="133">
        <v>172.96666666666667</v>
      </c>
      <c r="AK42" s="134">
        <v>33</v>
      </c>
      <c r="AL42" s="139">
        <v>27</v>
      </c>
      <c r="AM42" s="132">
        <v>21</v>
      </c>
      <c r="AN42" s="132">
        <v>17</v>
      </c>
      <c r="AO42" s="132">
        <v>13</v>
      </c>
      <c r="AP42" s="132">
        <v>15</v>
      </c>
      <c r="AQ42" s="132">
        <v>14</v>
      </c>
      <c r="AR42" s="132">
        <v>5</v>
      </c>
      <c r="AS42" s="132">
        <v>7</v>
      </c>
      <c r="AT42" s="132">
        <v>9</v>
      </c>
      <c r="AU42" s="132">
        <v>12</v>
      </c>
      <c r="AV42" s="132">
        <v>13</v>
      </c>
      <c r="AW42" s="132">
        <v>10</v>
      </c>
      <c r="AX42" s="132">
        <v>107</v>
      </c>
      <c r="AY42" s="132">
        <v>12</v>
      </c>
      <c r="AZ42" s="132">
        <v>44</v>
      </c>
      <c r="BA42" s="132">
        <v>152</v>
      </c>
      <c r="BB42" s="132">
        <v>163</v>
      </c>
      <c r="BC42" s="132">
        <v>196</v>
      </c>
      <c r="BD42" s="132">
        <v>33</v>
      </c>
      <c r="BE42" s="132">
        <v>0</v>
      </c>
      <c r="BF42" s="132">
        <v>0</v>
      </c>
      <c r="BG42" s="132">
        <v>68</v>
      </c>
      <c r="BH42" s="132">
        <v>0</v>
      </c>
      <c r="BI42" s="134">
        <v>178</v>
      </c>
      <c r="BJ42" s="134">
        <v>178</v>
      </c>
      <c r="BK42" s="134">
        <v>0</v>
      </c>
      <c r="BL42" s="134">
        <v>0</v>
      </c>
      <c r="BM42" s="134">
        <v>0</v>
      </c>
      <c r="BN42" s="133"/>
      <c r="BO42" s="133"/>
      <c r="BP42" s="133"/>
      <c r="BQ42" s="134">
        <v>0</v>
      </c>
      <c r="BR42" s="135">
        <v>0.10238701364007774</v>
      </c>
      <c r="BS42" s="136">
        <v>191.28900000000004</v>
      </c>
      <c r="BT42" s="136">
        <v>186.33000000000004</v>
      </c>
      <c r="BU42" s="136">
        <v>165.62</v>
      </c>
      <c r="BV42" s="136">
        <v>194.28900000000002</v>
      </c>
      <c r="BW42" s="137">
        <v>0</v>
      </c>
      <c r="BX42" s="137">
        <v>0</v>
      </c>
      <c r="BY42" s="138">
        <v>0</v>
      </c>
    </row>
    <row r="43" spans="1:77">
      <c r="A43" s="130">
        <v>42</v>
      </c>
      <c r="B43" s="131" t="s">
        <v>388</v>
      </c>
      <c r="C43" s="132" t="s">
        <v>389</v>
      </c>
      <c r="D43" s="132" t="s">
        <v>87</v>
      </c>
      <c r="E43" s="133">
        <v>3224.7944444444443</v>
      </c>
      <c r="F43" s="133">
        <v>555.25555555555559</v>
      </c>
      <c r="G43" s="134">
        <v>2067</v>
      </c>
      <c r="H43" s="134">
        <v>14189</v>
      </c>
      <c r="I43" s="134">
        <v>5322</v>
      </c>
      <c r="J43" s="134">
        <v>11355</v>
      </c>
      <c r="K43" s="134">
        <v>32933</v>
      </c>
      <c r="L43" s="134">
        <v>30866</v>
      </c>
      <c r="M43" s="134">
        <v>21578</v>
      </c>
      <c r="N43" s="134">
        <v>656</v>
      </c>
      <c r="O43" s="132">
        <v>2030.2444444444445</v>
      </c>
      <c r="P43" s="132">
        <v>2186.9</v>
      </c>
      <c r="Q43" s="132">
        <v>2289.1777777777779</v>
      </c>
      <c r="R43" s="132">
        <v>2415.9888888888891</v>
      </c>
      <c r="S43" s="132">
        <v>2340.1</v>
      </c>
      <c r="T43" s="132">
        <v>2376.25</v>
      </c>
      <c r="U43" s="132">
        <v>2358.9944444444445</v>
      </c>
      <c r="V43" s="132">
        <v>2562.6777777777779</v>
      </c>
      <c r="W43" s="132">
        <v>2603.1722222222224</v>
      </c>
      <c r="X43" s="132">
        <v>2939.0833333333335</v>
      </c>
      <c r="Y43" s="132">
        <v>2847.15</v>
      </c>
      <c r="Z43" s="132">
        <v>2768.8944444444446</v>
      </c>
      <c r="AA43" s="132">
        <v>2350.9166666666665</v>
      </c>
      <c r="AB43" s="132">
        <v>13967.411111111112</v>
      </c>
      <c r="AC43" s="132">
        <v>5165.8500000000004</v>
      </c>
      <c r="AD43" s="132">
        <v>10906.044444444444</v>
      </c>
      <c r="AE43" s="132">
        <v>21163.505555555555</v>
      </c>
      <c r="AF43" s="132">
        <v>30039.305555555562</v>
      </c>
      <c r="AG43" s="132">
        <v>32069.550000000003</v>
      </c>
      <c r="AH43" s="133">
        <v>3258.5444444444443</v>
      </c>
      <c r="AI43" s="133">
        <v>616.02777777777783</v>
      </c>
      <c r="AJ43" s="133">
        <v>3874.5722222222221</v>
      </c>
      <c r="AK43" s="134">
        <v>1948</v>
      </c>
      <c r="AL43" s="139">
        <v>2197</v>
      </c>
      <c r="AM43" s="132">
        <v>2216</v>
      </c>
      <c r="AN43" s="132">
        <v>2363</v>
      </c>
      <c r="AO43" s="132">
        <v>2488</v>
      </c>
      <c r="AP43" s="132">
        <v>2384</v>
      </c>
      <c r="AQ43" s="132">
        <v>2421</v>
      </c>
      <c r="AR43" s="132">
        <v>2469</v>
      </c>
      <c r="AS43" s="132">
        <v>2667</v>
      </c>
      <c r="AT43" s="132">
        <v>2922</v>
      </c>
      <c r="AU43" s="132">
        <v>3037</v>
      </c>
      <c r="AV43" s="132">
        <v>2832</v>
      </c>
      <c r="AW43" s="132">
        <v>2789</v>
      </c>
      <c r="AX43" s="132">
        <v>14069</v>
      </c>
      <c r="AY43" s="132">
        <v>5136</v>
      </c>
      <c r="AZ43" s="132">
        <v>11580</v>
      </c>
      <c r="BA43" s="132">
        <v>21153</v>
      </c>
      <c r="BB43" s="132">
        <v>30785</v>
      </c>
      <c r="BC43" s="132">
        <v>32733</v>
      </c>
      <c r="BD43" s="132">
        <v>1875</v>
      </c>
      <c r="BE43" s="132">
        <v>73</v>
      </c>
      <c r="BF43" s="132">
        <v>20</v>
      </c>
      <c r="BG43" s="132">
        <v>8945</v>
      </c>
      <c r="BH43" s="132">
        <v>3283</v>
      </c>
      <c r="BI43" s="134">
        <v>620</v>
      </c>
      <c r="BJ43" s="134">
        <v>3903</v>
      </c>
      <c r="BK43" s="134">
        <v>3486</v>
      </c>
      <c r="BL43" s="134">
        <v>1995</v>
      </c>
      <c r="BM43" s="134">
        <v>30301</v>
      </c>
      <c r="BN43" s="133"/>
      <c r="BO43" s="133"/>
      <c r="BP43" s="133"/>
      <c r="BQ43" s="134">
        <v>32296</v>
      </c>
      <c r="BR43" s="135">
        <v>8.4486000567662978E-2</v>
      </c>
      <c r="BS43" s="136">
        <v>1965.1003199999986</v>
      </c>
      <c r="BT43" s="136">
        <v>1877.4333199999987</v>
      </c>
      <c r="BU43" s="136">
        <v>1666.1375199999998</v>
      </c>
      <c r="BV43" s="136">
        <v>1901.0335199999986</v>
      </c>
      <c r="BW43" s="137">
        <v>0</v>
      </c>
      <c r="BX43" s="137">
        <v>0</v>
      </c>
      <c r="BY43" s="138">
        <v>724.53888800000004</v>
      </c>
    </row>
    <row r="44" spans="1:77">
      <c r="A44" s="130">
        <v>68</v>
      </c>
      <c r="B44" s="131" t="s">
        <v>390</v>
      </c>
      <c r="C44" s="132" t="s">
        <v>391</v>
      </c>
      <c r="D44" s="132" t="s">
        <v>143</v>
      </c>
      <c r="E44" s="133">
        <v>120.40555555555555</v>
      </c>
      <c r="F44" s="133">
        <v>7.2333333333333334</v>
      </c>
      <c r="G44" s="134">
        <v>100</v>
      </c>
      <c r="H44" s="134">
        <v>594</v>
      </c>
      <c r="I44" s="134">
        <v>221</v>
      </c>
      <c r="J44" s="134">
        <v>108</v>
      </c>
      <c r="K44" s="134">
        <v>1023</v>
      </c>
      <c r="L44" s="134">
        <v>923</v>
      </c>
      <c r="M44" s="134">
        <v>915</v>
      </c>
      <c r="N44" s="134">
        <v>7</v>
      </c>
      <c r="O44" s="132">
        <v>98.488888888888894</v>
      </c>
      <c r="P44" s="132">
        <v>100.84444444444445</v>
      </c>
      <c r="Q44" s="132">
        <v>97.311111111111117</v>
      </c>
      <c r="R44" s="132">
        <v>101.72777777777777</v>
      </c>
      <c r="S44" s="132">
        <v>96.911111111111111</v>
      </c>
      <c r="T44" s="132">
        <v>88.527777777777771</v>
      </c>
      <c r="U44" s="132">
        <v>99.87777777777778</v>
      </c>
      <c r="V44" s="132">
        <v>112.67222222222222</v>
      </c>
      <c r="W44" s="132">
        <v>105.02222222222223</v>
      </c>
      <c r="X44" s="132">
        <v>103.75555555555556</v>
      </c>
      <c r="Y44" s="132">
        <v>0</v>
      </c>
      <c r="Z44" s="132">
        <v>0</v>
      </c>
      <c r="AA44" s="132">
        <v>0</v>
      </c>
      <c r="AB44" s="132">
        <v>585.19999999999993</v>
      </c>
      <c r="AC44" s="132">
        <v>217.69444444444446</v>
      </c>
      <c r="AD44" s="132">
        <v>103.75555555555556</v>
      </c>
      <c r="AE44" s="132">
        <v>901.38333333333333</v>
      </c>
      <c r="AF44" s="132">
        <v>906.65</v>
      </c>
      <c r="AG44" s="132">
        <v>1005.1388888888889</v>
      </c>
      <c r="AH44" s="133">
        <v>131.34444444444443</v>
      </c>
      <c r="AI44" s="133">
        <v>11.122222222222222</v>
      </c>
      <c r="AJ44" s="133">
        <v>142.46666666666667</v>
      </c>
      <c r="AK44" s="134">
        <v>98</v>
      </c>
      <c r="AL44" s="139">
        <v>101</v>
      </c>
      <c r="AM44" s="132">
        <v>95</v>
      </c>
      <c r="AN44" s="132">
        <v>98</v>
      </c>
      <c r="AO44" s="132">
        <v>106</v>
      </c>
      <c r="AP44" s="132">
        <v>111</v>
      </c>
      <c r="AQ44" s="132">
        <v>93</v>
      </c>
      <c r="AR44" s="132">
        <v>108</v>
      </c>
      <c r="AS44" s="132">
        <v>106</v>
      </c>
      <c r="AT44" s="132">
        <v>99</v>
      </c>
      <c r="AU44" s="132">
        <v>0</v>
      </c>
      <c r="AV44" s="132">
        <v>0</v>
      </c>
      <c r="AW44" s="132">
        <v>0</v>
      </c>
      <c r="AX44" s="132">
        <v>604</v>
      </c>
      <c r="AY44" s="132">
        <v>214</v>
      </c>
      <c r="AZ44" s="132">
        <v>99</v>
      </c>
      <c r="BA44" s="132">
        <v>916</v>
      </c>
      <c r="BB44" s="132">
        <v>917</v>
      </c>
      <c r="BC44" s="132">
        <v>1015</v>
      </c>
      <c r="BD44" s="132">
        <v>98</v>
      </c>
      <c r="BE44" s="132">
        <v>0</v>
      </c>
      <c r="BF44" s="132">
        <v>0</v>
      </c>
      <c r="BG44" s="132">
        <v>705</v>
      </c>
      <c r="BH44" s="132">
        <v>161</v>
      </c>
      <c r="BI44" s="134">
        <v>19</v>
      </c>
      <c r="BJ44" s="134">
        <v>180</v>
      </c>
      <c r="BK44" s="134">
        <v>280</v>
      </c>
      <c r="BL44" s="134">
        <v>91</v>
      </c>
      <c r="BM44" s="134">
        <v>909</v>
      </c>
      <c r="BN44" s="134">
        <v>580</v>
      </c>
      <c r="BO44" s="134">
        <v>219</v>
      </c>
      <c r="BP44" s="134">
        <v>110</v>
      </c>
      <c r="BQ44" s="134">
        <v>1000</v>
      </c>
      <c r="BR44" s="135">
        <v>7.2108160997694848E-2</v>
      </c>
      <c r="BS44" s="136">
        <v>75.372</v>
      </c>
      <c r="BT44" s="136">
        <v>71.372</v>
      </c>
      <c r="BU44" s="136">
        <v>68.471999999999994</v>
      </c>
      <c r="BV44" s="136">
        <v>76.372</v>
      </c>
      <c r="BW44" s="137">
        <v>0</v>
      </c>
      <c r="BX44" s="137">
        <v>0</v>
      </c>
      <c r="BY44" s="138">
        <v>0</v>
      </c>
    </row>
    <row r="45" spans="1:77">
      <c r="A45" s="130">
        <v>70</v>
      </c>
      <c r="B45" s="131">
        <v>700</v>
      </c>
      <c r="C45" s="132" t="s">
        <v>392</v>
      </c>
      <c r="D45" s="132" t="s">
        <v>387</v>
      </c>
      <c r="E45" s="133">
        <v>0</v>
      </c>
      <c r="F45" s="133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34">
        <v>0</v>
      </c>
      <c r="O45" s="132">
        <v>0</v>
      </c>
      <c r="P45" s="132">
        <v>0</v>
      </c>
      <c r="Q45" s="132">
        <v>0</v>
      </c>
      <c r="R45" s="132">
        <v>0</v>
      </c>
      <c r="S45" s="132">
        <v>0</v>
      </c>
      <c r="T45" s="132">
        <v>0</v>
      </c>
      <c r="U45" s="132">
        <v>0</v>
      </c>
      <c r="V45" s="132">
        <v>0</v>
      </c>
      <c r="W45" s="132">
        <v>0</v>
      </c>
      <c r="X45" s="132">
        <v>0</v>
      </c>
      <c r="Y45" s="132">
        <v>0</v>
      </c>
      <c r="Z45" s="132">
        <v>0</v>
      </c>
      <c r="AA45" s="132">
        <v>0</v>
      </c>
      <c r="AB45" s="132">
        <v>0</v>
      </c>
      <c r="AC45" s="132">
        <v>0</v>
      </c>
      <c r="AD45" s="132">
        <v>0</v>
      </c>
      <c r="AE45" s="132">
        <v>0</v>
      </c>
      <c r="AF45" s="132">
        <v>0</v>
      </c>
      <c r="AG45" s="132">
        <v>0</v>
      </c>
      <c r="AH45" s="133">
        <v>0</v>
      </c>
      <c r="AI45" s="133">
        <v>0</v>
      </c>
      <c r="AJ45" s="133">
        <v>0</v>
      </c>
      <c r="AK45" s="134">
        <v>0</v>
      </c>
      <c r="AL45" s="139">
        <v>0</v>
      </c>
      <c r="AM45" s="132">
        <v>0</v>
      </c>
      <c r="AN45" s="132">
        <v>0</v>
      </c>
      <c r="AO45" s="132">
        <v>0</v>
      </c>
      <c r="AP45" s="132">
        <v>0</v>
      </c>
      <c r="AQ45" s="132">
        <v>0</v>
      </c>
      <c r="AR45" s="132">
        <v>0</v>
      </c>
      <c r="AS45" s="132">
        <v>0</v>
      </c>
      <c r="AT45" s="132">
        <v>0</v>
      </c>
      <c r="AU45" s="132">
        <v>0</v>
      </c>
      <c r="AV45" s="132">
        <v>0</v>
      </c>
      <c r="AW45" s="132">
        <v>0</v>
      </c>
      <c r="AX45" s="132">
        <v>0</v>
      </c>
      <c r="AY45" s="132">
        <v>0</v>
      </c>
      <c r="AZ45" s="132">
        <v>0</v>
      </c>
      <c r="BA45" s="132">
        <v>0</v>
      </c>
      <c r="BB45" s="132">
        <v>0</v>
      </c>
      <c r="BC45" s="132">
        <v>0</v>
      </c>
      <c r="BD45" s="132">
        <v>0</v>
      </c>
      <c r="BE45" s="132">
        <v>0</v>
      </c>
      <c r="BF45" s="132">
        <v>0</v>
      </c>
      <c r="BG45" s="132">
        <v>0</v>
      </c>
      <c r="BH45" s="132">
        <v>0</v>
      </c>
      <c r="BI45" s="134">
        <v>0</v>
      </c>
      <c r="BJ45" s="134">
        <v>0</v>
      </c>
      <c r="BK45" s="134">
        <v>0</v>
      </c>
      <c r="BL45" s="134">
        <v>0</v>
      </c>
      <c r="BM45" s="134">
        <v>0</v>
      </c>
      <c r="BN45" s="134">
        <v>0</v>
      </c>
      <c r="BO45" s="134">
        <v>0</v>
      </c>
      <c r="BP45" s="134">
        <v>0</v>
      </c>
      <c r="BQ45" s="134">
        <v>0</v>
      </c>
      <c r="BR45" s="135">
        <v>0</v>
      </c>
      <c r="BS45" s="136">
        <v>0</v>
      </c>
      <c r="BT45" s="136">
        <v>0</v>
      </c>
      <c r="BU45" s="136">
        <v>0</v>
      </c>
      <c r="BV45" s="136">
        <v>0</v>
      </c>
      <c r="BW45" s="137">
        <v>0</v>
      </c>
      <c r="BX45" s="137">
        <v>0</v>
      </c>
      <c r="BY45" s="138">
        <v>0</v>
      </c>
    </row>
    <row r="46" spans="1:77">
      <c r="A46" s="130">
        <v>71</v>
      </c>
      <c r="B46" s="131">
        <v>710</v>
      </c>
      <c r="C46" s="132" t="s">
        <v>393</v>
      </c>
      <c r="D46" s="132" t="s">
        <v>387</v>
      </c>
      <c r="E46" s="133">
        <v>0</v>
      </c>
      <c r="F46" s="133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2">
        <v>0</v>
      </c>
      <c r="P46" s="132">
        <v>0</v>
      </c>
      <c r="Q46" s="132">
        <v>0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3">
        <v>0</v>
      </c>
      <c r="AI46" s="133">
        <v>0</v>
      </c>
      <c r="AJ46" s="133">
        <v>0</v>
      </c>
      <c r="AK46" s="134">
        <v>0</v>
      </c>
      <c r="AL46" s="139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4">
        <v>0</v>
      </c>
      <c r="BJ46" s="134">
        <v>0</v>
      </c>
      <c r="BK46" s="134">
        <v>0</v>
      </c>
      <c r="BL46" s="134">
        <v>0</v>
      </c>
      <c r="BM46" s="134">
        <v>0</v>
      </c>
      <c r="BN46" s="134">
        <v>0</v>
      </c>
      <c r="BO46" s="134">
        <v>0</v>
      </c>
      <c r="BP46" s="134">
        <v>0</v>
      </c>
      <c r="BQ46" s="134">
        <v>0</v>
      </c>
      <c r="BR46" s="135">
        <v>0</v>
      </c>
      <c r="BS46" s="136">
        <v>0</v>
      </c>
      <c r="BT46" s="136">
        <v>0</v>
      </c>
      <c r="BU46" s="136">
        <v>0</v>
      </c>
      <c r="BV46" s="136">
        <v>0</v>
      </c>
      <c r="BW46" s="137">
        <v>0</v>
      </c>
      <c r="BX46" s="137">
        <v>0</v>
      </c>
      <c r="BY46" s="138">
        <v>0</v>
      </c>
    </row>
    <row r="47" spans="1:77">
      <c r="A47" s="130">
        <v>72</v>
      </c>
      <c r="B47" s="131">
        <v>72</v>
      </c>
      <c r="C47" s="132" t="s">
        <v>394</v>
      </c>
      <c r="D47" s="132" t="s">
        <v>387</v>
      </c>
      <c r="E47" s="133">
        <v>0</v>
      </c>
      <c r="F47" s="133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  <c r="N47" s="134">
        <v>0</v>
      </c>
      <c r="O47" s="132">
        <v>0</v>
      </c>
      <c r="P47" s="132">
        <v>0</v>
      </c>
      <c r="Q47" s="132">
        <v>0</v>
      </c>
      <c r="R47" s="132">
        <v>0</v>
      </c>
      <c r="S47" s="132">
        <v>0</v>
      </c>
      <c r="T47" s="132">
        <v>0</v>
      </c>
      <c r="U47" s="132">
        <v>0</v>
      </c>
      <c r="V47" s="132">
        <v>0</v>
      </c>
      <c r="W47" s="132">
        <v>0</v>
      </c>
      <c r="X47" s="132">
        <v>0</v>
      </c>
      <c r="Y47" s="132">
        <v>0</v>
      </c>
      <c r="Z47" s="132">
        <v>0</v>
      </c>
      <c r="AA47" s="132">
        <v>0</v>
      </c>
      <c r="AB47" s="132">
        <v>0</v>
      </c>
      <c r="AC47" s="132">
        <v>0</v>
      </c>
      <c r="AD47" s="132">
        <v>0</v>
      </c>
      <c r="AE47" s="132">
        <v>0</v>
      </c>
      <c r="AF47" s="132">
        <v>0</v>
      </c>
      <c r="AG47" s="132">
        <v>0</v>
      </c>
      <c r="AH47" s="133">
        <v>0</v>
      </c>
      <c r="AI47" s="133">
        <v>0</v>
      </c>
      <c r="AJ47" s="133">
        <v>0</v>
      </c>
      <c r="AK47" s="134">
        <v>0</v>
      </c>
      <c r="AL47" s="139">
        <v>0</v>
      </c>
      <c r="AM47" s="132">
        <v>0</v>
      </c>
      <c r="AN47" s="132">
        <v>0</v>
      </c>
      <c r="AO47" s="132">
        <v>0</v>
      </c>
      <c r="AP47" s="132">
        <v>0</v>
      </c>
      <c r="AQ47" s="132">
        <v>0</v>
      </c>
      <c r="AR47" s="132">
        <v>0</v>
      </c>
      <c r="AS47" s="132">
        <v>0</v>
      </c>
      <c r="AT47" s="132">
        <v>0</v>
      </c>
      <c r="AU47" s="132">
        <v>0</v>
      </c>
      <c r="AV47" s="132">
        <v>0</v>
      </c>
      <c r="AW47" s="132">
        <v>0</v>
      </c>
      <c r="AX47" s="132">
        <v>0</v>
      </c>
      <c r="AY47" s="132">
        <v>0</v>
      </c>
      <c r="AZ47" s="132">
        <v>0</v>
      </c>
      <c r="BA47" s="132">
        <v>0</v>
      </c>
      <c r="BB47" s="132">
        <v>0</v>
      </c>
      <c r="BC47" s="132">
        <v>0</v>
      </c>
      <c r="BD47" s="132">
        <v>0</v>
      </c>
      <c r="BE47" s="132">
        <v>0</v>
      </c>
      <c r="BF47" s="132">
        <v>0</v>
      </c>
      <c r="BG47" s="132">
        <v>0</v>
      </c>
      <c r="BH47" s="132">
        <v>0</v>
      </c>
      <c r="BI47" s="134">
        <v>0</v>
      </c>
      <c r="BJ47" s="134">
        <v>0</v>
      </c>
      <c r="BK47" s="134">
        <v>0</v>
      </c>
      <c r="BL47" s="134">
        <v>0</v>
      </c>
      <c r="BM47" s="134">
        <v>0</v>
      </c>
      <c r="BN47" s="134">
        <v>0</v>
      </c>
      <c r="BO47" s="134">
        <v>0</v>
      </c>
      <c r="BP47" s="134">
        <v>0</v>
      </c>
      <c r="BQ47" s="134">
        <v>0</v>
      </c>
      <c r="BR47" s="135">
        <v>0</v>
      </c>
      <c r="BS47" s="136">
        <v>0</v>
      </c>
      <c r="BT47" s="136">
        <v>0</v>
      </c>
      <c r="BU47" s="136">
        <v>0</v>
      </c>
      <c r="BV47" s="136">
        <v>0</v>
      </c>
      <c r="BW47" s="137">
        <v>0</v>
      </c>
      <c r="BX47" s="137">
        <v>0</v>
      </c>
      <c r="BY47" s="138">
        <v>0</v>
      </c>
    </row>
    <row r="48" spans="1:77">
      <c r="A48" s="130">
        <v>73</v>
      </c>
      <c r="B48" s="131">
        <v>730</v>
      </c>
      <c r="C48" s="132" t="s">
        <v>395</v>
      </c>
      <c r="D48" s="132" t="s">
        <v>387</v>
      </c>
      <c r="E48" s="133">
        <v>0</v>
      </c>
      <c r="F48" s="133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2">
        <v>0</v>
      </c>
      <c r="P48" s="132">
        <v>0</v>
      </c>
      <c r="Q48" s="132">
        <v>0</v>
      </c>
      <c r="R48" s="132">
        <v>0</v>
      </c>
      <c r="S48" s="132">
        <v>0</v>
      </c>
      <c r="T48" s="132">
        <v>0</v>
      </c>
      <c r="U48" s="132">
        <v>0</v>
      </c>
      <c r="V48" s="132">
        <v>0</v>
      </c>
      <c r="W48" s="132">
        <v>0</v>
      </c>
      <c r="X48" s="132">
        <v>0</v>
      </c>
      <c r="Y48" s="132">
        <v>0</v>
      </c>
      <c r="Z48" s="132">
        <v>0</v>
      </c>
      <c r="AA48" s="132">
        <v>0</v>
      </c>
      <c r="AB48" s="132">
        <v>0</v>
      </c>
      <c r="AC48" s="132">
        <v>0</v>
      </c>
      <c r="AD48" s="132">
        <v>0</v>
      </c>
      <c r="AE48" s="132">
        <v>0</v>
      </c>
      <c r="AF48" s="132">
        <v>0</v>
      </c>
      <c r="AG48" s="132">
        <v>0</v>
      </c>
      <c r="AH48" s="133">
        <v>0</v>
      </c>
      <c r="AI48" s="133">
        <v>0</v>
      </c>
      <c r="AJ48" s="133">
        <v>0</v>
      </c>
      <c r="AK48" s="134">
        <v>0</v>
      </c>
      <c r="AL48" s="139">
        <v>0</v>
      </c>
      <c r="AM48" s="132">
        <v>0</v>
      </c>
      <c r="AN48" s="132">
        <v>0</v>
      </c>
      <c r="AO48" s="132">
        <v>0</v>
      </c>
      <c r="AP48" s="132">
        <v>0</v>
      </c>
      <c r="AQ48" s="132">
        <v>0</v>
      </c>
      <c r="AR48" s="132">
        <v>0</v>
      </c>
      <c r="AS48" s="132">
        <v>0</v>
      </c>
      <c r="AT48" s="132">
        <v>0</v>
      </c>
      <c r="AU48" s="132">
        <v>0</v>
      </c>
      <c r="AV48" s="132">
        <v>0</v>
      </c>
      <c r="AW48" s="132">
        <v>0</v>
      </c>
      <c r="AX48" s="132">
        <v>0</v>
      </c>
      <c r="AY48" s="132">
        <v>0</v>
      </c>
      <c r="AZ48" s="132">
        <v>0</v>
      </c>
      <c r="BA48" s="132">
        <v>0</v>
      </c>
      <c r="BB48" s="132">
        <v>0</v>
      </c>
      <c r="BC48" s="132">
        <v>0</v>
      </c>
      <c r="BD48" s="132">
        <v>0</v>
      </c>
      <c r="BE48" s="132">
        <v>0</v>
      </c>
      <c r="BF48" s="132">
        <v>0</v>
      </c>
      <c r="BG48" s="132">
        <v>0</v>
      </c>
      <c r="BH48" s="132">
        <v>0</v>
      </c>
      <c r="BI48" s="134">
        <v>0</v>
      </c>
      <c r="BJ48" s="134">
        <v>0</v>
      </c>
      <c r="BK48" s="134">
        <v>0</v>
      </c>
      <c r="BL48" s="134">
        <v>0</v>
      </c>
      <c r="BM48" s="134">
        <v>0</v>
      </c>
      <c r="BN48" s="134">
        <v>0</v>
      </c>
      <c r="BO48" s="134">
        <v>0</v>
      </c>
      <c r="BP48" s="134">
        <v>0</v>
      </c>
      <c r="BQ48" s="134">
        <v>0</v>
      </c>
      <c r="BR48" s="135">
        <v>0</v>
      </c>
      <c r="BS48" s="136">
        <v>0</v>
      </c>
      <c r="BT48" s="136">
        <v>0</v>
      </c>
      <c r="BU48" s="136">
        <v>0</v>
      </c>
      <c r="BV48" s="136">
        <v>0</v>
      </c>
      <c r="BW48" s="137">
        <v>0</v>
      </c>
      <c r="BX48" s="137">
        <v>0</v>
      </c>
      <c r="BY48" s="138">
        <v>0</v>
      </c>
    </row>
    <row r="49" spans="1:77">
      <c r="A49" s="130">
        <v>74</v>
      </c>
      <c r="B49" s="131" t="s">
        <v>396</v>
      </c>
      <c r="C49" s="132" t="s">
        <v>397</v>
      </c>
      <c r="D49" s="132" t="s">
        <v>143</v>
      </c>
      <c r="E49" s="133">
        <v>379.41666666666669</v>
      </c>
      <c r="F49" s="133">
        <v>35.416666666666664</v>
      </c>
      <c r="G49" s="134">
        <v>441</v>
      </c>
      <c r="H49" s="134">
        <v>3026</v>
      </c>
      <c r="I49" s="134">
        <v>927</v>
      </c>
      <c r="J49" s="134">
        <v>802</v>
      </c>
      <c r="K49" s="134">
        <v>5196</v>
      </c>
      <c r="L49" s="134">
        <v>4755</v>
      </c>
      <c r="M49" s="134">
        <v>4394</v>
      </c>
      <c r="N49" s="134">
        <v>42</v>
      </c>
      <c r="O49" s="132">
        <v>433.52222222222224</v>
      </c>
      <c r="P49" s="132">
        <v>452.51666666666665</v>
      </c>
      <c r="Q49" s="132">
        <v>512.11666666666667</v>
      </c>
      <c r="R49" s="132">
        <v>498.98888888888888</v>
      </c>
      <c r="S49" s="132">
        <v>527.58888888888885</v>
      </c>
      <c r="T49" s="132">
        <v>494.28333333333336</v>
      </c>
      <c r="U49" s="132">
        <v>504.79444444444442</v>
      </c>
      <c r="V49" s="132">
        <v>480.34444444444443</v>
      </c>
      <c r="W49" s="132">
        <v>419.51111111111112</v>
      </c>
      <c r="X49" s="132">
        <v>285.5</v>
      </c>
      <c r="Y49" s="132">
        <v>210.38888888888889</v>
      </c>
      <c r="Z49" s="132">
        <v>147.09444444444443</v>
      </c>
      <c r="AA49" s="132">
        <v>132.94999999999999</v>
      </c>
      <c r="AB49" s="132">
        <v>2990.2888888888888</v>
      </c>
      <c r="AC49" s="132">
        <v>899.85555555555561</v>
      </c>
      <c r="AD49" s="132">
        <v>775.93333333333339</v>
      </c>
      <c r="AE49" s="132">
        <v>4323.6666666666661</v>
      </c>
      <c r="AF49" s="132">
        <v>4666.0777777777776</v>
      </c>
      <c r="AG49" s="132">
        <v>5099.5999999999995</v>
      </c>
      <c r="AH49" s="133">
        <v>448.85555555555555</v>
      </c>
      <c r="AI49" s="133">
        <v>34.6</v>
      </c>
      <c r="AJ49" s="133">
        <v>483.45555555555558</v>
      </c>
      <c r="AK49" s="134">
        <v>443</v>
      </c>
      <c r="AL49" s="139">
        <v>478</v>
      </c>
      <c r="AM49" s="132">
        <v>444</v>
      </c>
      <c r="AN49" s="132">
        <v>515</v>
      </c>
      <c r="AO49" s="132">
        <v>494</v>
      </c>
      <c r="AP49" s="132">
        <v>511</v>
      </c>
      <c r="AQ49" s="132">
        <v>463</v>
      </c>
      <c r="AR49" s="132">
        <v>462</v>
      </c>
      <c r="AS49" s="132">
        <v>426</v>
      </c>
      <c r="AT49" s="132">
        <v>301</v>
      </c>
      <c r="AU49" s="132">
        <v>208</v>
      </c>
      <c r="AV49" s="132">
        <v>165</v>
      </c>
      <c r="AW49" s="132">
        <v>137</v>
      </c>
      <c r="AX49" s="132">
        <v>2905</v>
      </c>
      <c r="AY49" s="132">
        <v>888</v>
      </c>
      <c r="AZ49" s="132">
        <v>811</v>
      </c>
      <c r="BA49" s="132">
        <v>4236</v>
      </c>
      <c r="BB49" s="132">
        <v>4604</v>
      </c>
      <c r="BC49" s="132">
        <v>5047</v>
      </c>
      <c r="BD49" s="132">
        <v>373</v>
      </c>
      <c r="BE49" s="132">
        <v>70</v>
      </c>
      <c r="BF49" s="132">
        <v>0</v>
      </c>
      <c r="BG49" s="132">
        <v>1726</v>
      </c>
      <c r="BH49" s="132">
        <v>410</v>
      </c>
      <c r="BI49" s="134">
        <v>24</v>
      </c>
      <c r="BJ49" s="134">
        <v>434</v>
      </c>
      <c r="BK49" s="134">
        <v>1502</v>
      </c>
      <c r="BL49" s="134">
        <v>424</v>
      </c>
      <c r="BM49" s="134">
        <v>4596</v>
      </c>
      <c r="BN49" s="134">
        <v>2776</v>
      </c>
      <c r="BO49" s="134">
        <v>982</v>
      </c>
      <c r="BP49" s="134">
        <v>838</v>
      </c>
      <c r="BQ49" s="134">
        <v>5020</v>
      </c>
      <c r="BR49" s="135">
        <v>6.0231977449810847E-2</v>
      </c>
      <c r="BS49" s="136">
        <v>274.42599999999999</v>
      </c>
      <c r="BT49" s="136">
        <v>261.815</v>
      </c>
      <c r="BU49" s="136">
        <v>251.065</v>
      </c>
      <c r="BV49" s="136">
        <v>283.42600000000004</v>
      </c>
      <c r="BW49" s="137">
        <v>0</v>
      </c>
      <c r="BX49" s="137">
        <v>0</v>
      </c>
      <c r="BY49" s="138">
        <v>0</v>
      </c>
    </row>
    <row r="50" spans="1:77">
      <c r="A50" s="130">
        <v>81</v>
      </c>
      <c r="B50" s="131" t="s">
        <v>398</v>
      </c>
      <c r="C50" s="132" t="s">
        <v>399</v>
      </c>
      <c r="D50" s="132" t="s">
        <v>143</v>
      </c>
      <c r="E50" s="133">
        <v>69.261111111111106</v>
      </c>
      <c r="F50" s="133">
        <v>6.322222222222222</v>
      </c>
      <c r="G50" s="134">
        <v>31</v>
      </c>
      <c r="H50" s="134">
        <v>188</v>
      </c>
      <c r="I50" s="134">
        <v>75</v>
      </c>
      <c r="J50" s="134">
        <v>126</v>
      </c>
      <c r="K50" s="134">
        <v>420</v>
      </c>
      <c r="L50" s="134">
        <v>389</v>
      </c>
      <c r="M50" s="134">
        <v>294</v>
      </c>
      <c r="N50" s="134">
        <v>6</v>
      </c>
      <c r="O50" s="132">
        <v>30.2</v>
      </c>
      <c r="P50" s="132">
        <v>32.87222222222222</v>
      </c>
      <c r="Q50" s="132">
        <v>27.961111111111112</v>
      </c>
      <c r="R50" s="132">
        <v>29.25</v>
      </c>
      <c r="S50" s="132">
        <v>26.577777777777779</v>
      </c>
      <c r="T50" s="132">
        <v>33.011111111111113</v>
      </c>
      <c r="U50" s="132">
        <v>28.316666666666666</v>
      </c>
      <c r="V50" s="132">
        <v>34.93333333333333</v>
      </c>
      <c r="W50" s="132">
        <v>36.37777777777778</v>
      </c>
      <c r="X50" s="132">
        <v>31.294444444444444</v>
      </c>
      <c r="Y50" s="132">
        <v>33.672222222222224</v>
      </c>
      <c r="Z50" s="132">
        <v>32.983333333333334</v>
      </c>
      <c r="AA50" s="132">
        <v>26.922222222222221</v>
      </c>
      <c r="AB50" s="132">
        <v>177.98888888888888</v>
      </c>
      <c r="AC50" s="132">
        <v>71.311111111111103</v>
      </c>
      <c r="AD50" s="132">
        <v>124.87222222222222</v>
      </c>
      <c r="AE50" s="132">
        <v>279.5</v>
      </c>
      <c r="AF50" s="132">
        <v>374.17222222222222</v>
      </c>
      <c r="AG50" s="132">
        <v>404.37222222222221</v>
      </c>
      <c r="AH50" s="133">
        <v>95.138888888888886</v>
      </c>
      <c r="AI50" s="133">
        <v>6.1</v>
      </c>
      <c r="AJ50" s="133">
        <v>101.23888888888888</v>
      </c>
      <c r="AK50" s="134">
        <v>29</v>
      </c>
      <c r="AL50" s="139">
        <v>25</v>
      </c>
      <c r="AM50" s="132">
        <v>31</v>
      </c>
      <c r="AN50" s="132">
        <v>27</v>
      </c>
      <c r="AO50" s="132">
        <v>28</v>
      </c>
      <c r="AP50" s="132">
        <v>24</v>
      </c>
      <c r="AQ50" s="132">
        <v>33</v>
      </c>
      <c r="AR50" s="132">
        <v>33</v>
      </c>
      <c r="AS50" s="132">
        <v>36</v>
      </c>
      <c r="AT50" s="132">
        <v>27</v>
      </c>
      <c r="AU50" s="132">
        <v>31</v>
      </c>
      <c r="AV50" s="132">
        <v>26</v>
      </c>
      <c r="AW50" s="132">
        <v>28</v>
      </c>
      <c r="AX50" s="132">
        <v>168</v>
      </c>
      <c r="AY50" s="132">
        <v>69</v>
      </c>
      <c r="AZ50" s="132">
        <v>112</v>
      </c>
      <c r="BA50" s="132">
        <v>266</v>
      </c>
      <c r="BB50" s="132">
        <v>349</v>
      </c>
      <c r="BC50" s="132">
        <v>378</v>
      </c>
      <c r="BD50" s="132">
        <v>29</v>
      </c>
      <c r="BE50" s="132">
        <v>0</v>
      </c>
      <c r="BF50" s="132">
        <v>0</v>
      </c>
      <c r="BG50" s="132">
        <v>154</v>
      </c>
      <c r="BH50" s="132">
        <v>83</v>
      </c>
      <c r="BI50" s="134">
        <v>9</v>
      </c>
      <c r="BJ50" s="134">
        <v>92</v>
      </c>
      <c r="BK50" s="134">
        <v>4</v>
      </c>
      <c r="BL50" s="134">
        <v>28</v>
      </c>
      <c r="BM50" s="134">
        <v>352</v>
      </c>
      <c r="BN50" s="134">
        <v>170</v>
      </c>
      <c r="BO50" s="134">
        <v>68</v>
      </c>
      <c r="BP50" s="134">
        <v>114</v>
      </c>
      <c r="BQ50" s="134">
        <v>380</v>
      </c>
      <c r="BR50" s="135">
        <v>7.0849705304518673E-2</v>
      </c>
      <c r="BS50" s="136">
        <v>40.909999999999997</v>
      </c>
      <c r="BT50" s="136">
        <v>37.959999999999994</v>
      </c>
      <c r="BU50" s="136">
        <v>36.97</v>
      </c>
      <c r="BV50" s="136">
        <v>40.909999999999997</v>
      </c>
      <c r="BW50" s="137">
        <v>0</v>
      </c>
      <c r="BX50" s="137">
        <v>0</v>
      </c>
      <c r="BY50" s="138">
        <v>0</v>
      </c>
    </row>
    <row r="51" spans="1:77">
      <c r="A51" s="130">
        <v>82</v>
      </c>
      <c r="B51" s="131" t="s">
        <v>400</v>
      </c>
      <c r="C51" s="132" t="s">
        <v>401</v>
      </c>
      <c r="D51" s="132" t="s">
        <v>143</v>
      </c>
      <c r="E51" s="133">
        <v>232.62222222222223</v>
      </c>
      <c r="F51" s="133">
        <v>9.0111111111111111</v>
      </c>
      <c r="G51" s="134">
        <v>295</v>
      </c>
      <c r="H51" s="134">
        <v>1196</v>
      </c>
      <c r="I51" s="134">
        <v>302</v>
      </c>
      <c r="J51" s="134">
        <v>268</v>
      </c>
      <c r="K51" s="134">
        <v>2061</v>
      </c>
      <c r="L51" s="134">
        <v>1766</v>
      </c>
      <c r="M51" s="134">
        <v>1793</v>
      </c>
      <c r="N51" s="134">
        <v>6</v>
      </c>
      <c r="O51" s="132">
        <v>289.01666666666665</v>
      </c>
      <c r="P51" s="132">
        <v>226.9</v>
      </c>
      <c r="Q51" s="132">
        <v>237.01666666666668</v>
      </c>
      <c r="R51" s="132">
        <v>206.21111111111111</v>
      </c>
      <c r="S51" s="132">
        <v>193.78888888888889</v>
      </c>
      <c r="T51" s="132">
        <v>178.3388888888889</v>
      </c>
      <c r="U51" s="132">
        <v>142.61111111111111</v>
      </c>
      <c r="V51" s="132">
        <v>144.93333333333334</v>
      </c>
      <c r="W51" s="132">
        <v>148.0611111111111</v>
      </c>
      <c r="X51" s="132">
        <v>94.933333333333337</v>
      </c>
      <c r="Y51" s="132">
        <v>77.861111111111114</v>
      </c>
      <c r="Z51" s="132">
        <v>48.633333333333333</v>
      </c>
      <c r="AA51" s="132">
        <v>43.538888888888891</v>
      </c>
      <c r="AB51" s="132">
        <v>1184.8666666666666</v>
      </c>
      <c r="AC51" s="132">
        <v>292.99444444444441</v>
      </c>
      <c r="AD51" s="132">
        <v>264.9666666666667</v>
      </c>
      <c r="AE51" s="132">
        <v>1766.877777777778</v>
      </c>
      <c r="AF51" s="132">
        <v>1742.827777777778</v>
      </c>
      <c r="AG51" s="132">
        <v>2031.8444444444449</v>
      </c>
      <c r="AH51" s="133">
        <v>276.78888888888889</v>
      </c>
      <c r="AI51" s="133">
        <v>8.1388888888888893</v>
      </c>
      <c r="AJ51" s="133">
        <v>284.92777777777781</v>
      </c>
      <c r="AK51" s="134">
        <v>292</v>
      </c>
      <c r="AL51" s="139">
        <v>252</v>
      </c>
      <c r="AM51" s="132">
        <v>235</v>
      </c>
      <c r="AN51" s="132">
        <v>236</v>
      </c>
      <c r="AO51" s="132">
        <v>210</v>
      </c>
      <c r="AP51" s="132">
        <v>195</v>
      </c>
      <c r="AQ51" s="132">
        <v>143</v>
      </c>
      <c r="AR51" s="132">
        <v>162</v>
      </c>
      <c r="AS51" s="132">
        <v>155</v>
      </c>
      <c r="AT51" s="132">
        <v>96</v>
      </c>
      <c r="AU51" s="132">
        <v>72</v>
      </c>
      <c r="AV51" s="132">
        <v>68</v>
      </c>
      <c r="AW51" s="132">
        <v>40</v>
      </c>
      <c r="AX51" s="132">
        <v>1271</v>
      </c>
      <c r="AY51" s="132">
        <v>317</v>
      </c>
      <c r="AZ51" s="132">
        <v>276</v>
      </c>
      <c r="BA51" s="132">
        <v>1880</v>
      </c>
      <c r="BB51" s="132">
        <v>1864</v>
      </c>
      <c r="BC51" s="132">
        <v>2156</v>
      </c>
      <c r="BD51" s="132">
        <v>234</v>
      </c>
      <c r="BE51" s="132">
        <v>58</v>
      </c>
      <c r="BF51" s="132">
        <v>3</v>
      </c>
      <c r="BG51" s="132">
        <v>824</v>
      </c>
      <c r="BH51" s="132">
        <v>310</v>
      </c>
      <c r="BI51" s="134">
        <v>4</v>
      </c>
      <c r="BJ51" s="134">
        <v>314</v>
      </c>
      <c r="BK51" s="134">
        <v>359</v>
      </c>
      <c r="BL51" s="134">
        <v>269</v>
      </c>
      <c r="BM51" s="134">
        <v>1881</v>
      </c>
      <c r="BN51" s="134">
        <v>1242</v>
      </c>
      <c r="BO51" s="134">
        <v>322</v>
      </c>
      <c r="BP51" s="134">
        <v>317</v>
      </c>
      <c r="BQ51" s="134">
        <v>2150</v>
      </c>
      <c r="BR51" s="135">
        <v>6.2421986534875684E-2</v>
      </c>
      <c r="BS51" s="136">
        <v>138.83099999999999</v>
      </c>
      <c r="BT51" s="136">
        <v>129.941</v>
      </c>
      <c r="BU51" s="136">
        <v>125.941</v>
      </c>
      <c r="BV51" s="136">
        <v>139.83100000000002</v>
      </c>
      <c r="BW51" s="137">
        <v>0</v>
      </c>
      <c r="BX51" s="137">
        <v>0</v>
      </c>
      <c r="BY51" s="138">
        <v>0</v>
      </c>
    </row>
    <row r="52" spans="1:77">
      <c r="A52" s="130">
        <v>83</v>
      </c>
      <c r="B52" s="131" t="s">
        <v>402</v>
      </c>
      <c r="C52" s="132" t="s">
        <v>403</v>
      </c>
      <c r="D52" s="132" t="s">
        <v>143</v>
      </c>
      <c r="E52" s="133">
        <v>30.672222222222221</v>
      </c>
      <c r="F52" s="133">
        <v>0</v>
      </c>
      <c r="G52" s="134">
        <v>0</v>
      </c>
      <c r="H52" s="134">
        <v>0</v>
      </c>
      <c r="I52" s="134">
        <v>0</v>
      </c>
      <c r="J52" s="134">
        <v>454</v>
      </c>
      <c r="K52" s="134">
        <v>454</v>
      </c>
      <c r="L52" s="134">
        <v>454</v>
      </c>
      <c r="M52" s="134">
        <v>0</v>
      </c>
      <c r="N52" s="134">
        <v>0</v>
      </c>
      <c r="O52" s="132"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0</v>
      </c>
      <c r="U52" s="132">
        <v>0</v>
      </c>
      <c r="V52" s="132">
        <v>0</v>
      </c>
      <c r="W52" s="132">
        <v>0</v>
      </c>
      <c r="X52" s="132">
        <v>117.66111111111111</v>
      </c>
      <c r="Y52" s="132">
        <v>124.45</v>
      </c>
      <c r="Z52" s="132">
        <v>108.7</v>
      </c>
      <c r="AA52" s="132">
        <v>102.47222222222223</v>
      </c>
      <c r="AB52" s="132">
        <v>0</v>
      </c>
      <c r="AC52" s="132">
        <v>0</v>
      </c>
      <c r="AD52" s="132">
        <v>453.28333333333336</v>
      </c>
      <c r="AE52" s="132">
        <v>0</v>
      </c>
      <c r="AF52" s="132">
        <v>453.28333333333336</v>
      </c>
      <c r="AG52" s="132">
        <v>453.28333333333336</v>
      </c>
      <c r="AH52" s="133">
        <v>28.227777777777778</v>
      </c>
      <c r="AI52" s="133">
        <v>0</v>
      </c>
      <c r="AJ52" s="133">
        <v>28.227777777777778</v>
      </c>
      <c r="AK52" s="134">
        <v>0</v>
      </c>
      <c r="AL52" s="139">
        <v>0</v>
      </c>
      <c r="AM52" s="132">
        <v>0</v>
      </c>
      <c r="AN52" s="132">
        <v>0</v>
      </c>
      <c r="AO52" s="132">
        <v>0</v>
      </c>
      <c r="AP52" s="132">
        <v>0</v>
      </c>
      <c r="AQ52" s="132">
        <v>0</v>
      </c>
      <c r="AR52" s="132">
        <v>0</v>
      </c>
      <c r="AS52" s="132">
        <v>0</v>
      </c>
      <c r="AT52" s="132">
        <v>122</v>
      </c>
      <c r="AU52" s="132">
        <v>119</v>
      </c>
      <c r="AV52" s="132">
        <v>126</v>
      </c>
      <c r="AW52" s="132">
        <v>102</v>
      </c>
      <c r="AX52" s="132">
        <v>0</v>
      </c>
      <c r="AY52" s="132">
        <v>0</v>
      </c>
      <c r="AZ52" s="132">
        <v>469</v>
      </c>
      <c r="BA52" s="132">
        <v>0</v>
      </c>
      <c r="BB52" s="132">
        <v>469</v>
      </c>
      <c r="BC52" s="132">
        <v>469</v>
      </c>
      <c r="BD52" s="132">
        <v>0</v>
      </c>
      <c r="BE52" s="132">
        <v>0</v>
      </c>
      <c r="BF52" s="132">
        <v>0</v>
      </c>
      <c r="BG52" s="132">
        <v>81</v>
      </c>
      <c r="BH52" s="132">
        <v>35</v>
      </c>
      <c r="BI52" s="134">
        <v>0</v>
      </c>
      <c r="BJ52" s="134">
        <v>35</v>
      </c>
      <c r="BK52" s="134">
        <v>19</v>
      </c>
      <c r="BL52" s="134">
        <v>0</v>
      </c>
      <c r="BM52" s="134">
        <v>460</v>
      </c>
      <c r="BN52" s="134">
        <v>0</v>
      </c>
      <c r="BO52" s="134">
        <v>0</v>
      </c>
      <c r="BP52" s="134">
        <v>460</v>
      </c>
      <c r="BQ52" s="134">
        <v>460</v>
      </c>
      <c r="BR52" s="135">
        <v>9.3934396105748053E-2</v>
      </c>
      <c r="BS52" s="136">
        <v>26</v>
      </c>
      <c r="BT52" s="136">
        <v>24</v>
      </c>
      <c r="BU52" s="136">
        <v>24</v>
      </c>
      <c r="BV52" s="136">
        <v>26</v>
      </c>
      <c r="BW52" s="137">
        <v>0</v>
      </c>
      <c r="BX52" s="137">
        <v>0</v>
      </c>
      <c r="BY52" s="138">
        <v>0</v>
      </c>
    </row>
    <row r="53" spans="1:77">
      <c r="A53" s="130">
        <v>86</v>
      </c>
      <c r="B53" s="131" t="s">
        <v>404</v>
      </c>
      <c r="C53" s="132" t="s">
        <v>405</v>
      </c>
      <c r="D53" s="132" t="s">
        <v>143</v>
      </c>
      <c r="E53" s="133">
        <v>92.027777777777771</v>
      </c>
      <c r="F53" s="133">
        <v>46.666666666666664</v>
      </c>
      <c r="G53" s="134">
        <v>25</v>
      </c>
      <c r="H53" s="134">
        <v>170</v>
      </c>
      <c r="I53" s="134">
        <v>61</v>
      </c>
      <c r="J53" s="134">
        <v>152</v>
      </c>
      <c r="K53" s="134">
        <v>408</v>
      </c>
      <c r="L53" s="134">
        <v>383</v>
      </c>
      <c r="M53" s="134">
        <v>256</v>
      </c>
      <c r="N53" s="134">
        <v>41</v>
      </c>
      <c r="O53" s="132">
        <v>16.238888888888887</v>
      </c>
      <c r="P53" s="132">
        <v>26.833333333333332</v>
      </c>
      <c r="Q53" s="132">
        <v>18.111111111111111</v>
      </c>
      <c r="R53" s="132">
        <v>30.155555555555555</v>
      </c>
      <c r="S53" s="132">
        <v>21.588888888888889</v>
      </c>
      <c r="T53" s="132">
        <v>33.394444444444446</v>
      </c>
      <c r="U53" s="132">
        <v>25.283333333333335</v>
      </c>
      <c r="V53" s="132">
        <v>19.43888888888889</v>
      </c>
      <c r="W53" s="132">
        <v>30.816666666666666</v>
      </c>
      <c r="X53" s="132">
        <v>36.916666666666664</v>
      </c>
      <c r="Y53" s="132">
        <v>36.266666666666666</v>
      </c>
      <c r="Z53" s="132">
        <v>24.155555555555555</v>
      </c>
      <c r="AA53" s="132">
        <v>37.261111111111113</v>
      </c>
      <c r="AB53" s="132">
        <v>155.36666666666665</v>
      </c>
      <c r="AC53" s="132">
        <v>50.25555555555556</v>
      </c>
      <c r="AD53" s="132">
        <v>134.6</v>
      </c>
      <c r="AE53" s="132">
        <v>221.86111111111111</v>
      </c>
      <c r="AF53" s="132">
        <v>340.22222222222223</v>
      </c>
      <c r="AG53" s="132">
        <v>356.46111111111111</v>
      </c>
      <c r="AH53" s="133">
        <v>85.738888888888894</v>
      </c>
      <c r="AI53" s="133">
        <v>41.65</v>
      </c>
      <c r="AJ53" s="133">
        <v>127.38888888888889</v>
      </c>
      <c r="AK53" s="134">
        <v>18</v>
      </c>
      <c r="AL53" s="139">
        <v>18</v>
      </c>
      <c r="AM53" s="132">
        <v>32</v>
      </c>
      <c r="AN53" s="132">
        <v>19</v>
      </c>
      <c r="AO53" s="132">
        <v>31</v>
      </c>
      <c r="AP53" s="132">
        <v>28</v>
      </c>
      <c r="AQ53" s="132">
        <v>36</v>
      </c>
      <c r="AR53" s="132">
        <v>31</v>
      </c>
      <c r="AS53" s="132">
        <v>28</v>
      </c>
      <c r="AT53" s="132">
        <v>35</v>
      </c>
      <c r="AU53" s="132">
        <v>43</v>
      </c>
      <c r="AV53" s="132">
        <v>40</v>
      </c>
      <c r="AW53" s="132">
        <v>23</v>
      </c>
      <c r="AX53" s="132">
        <v>164</v>
      </c>
      <c r="AY53" s="132">
        <v>59</v>
      </c>
      <c r="AZ53" s="132">
        <v>141</v>
      </c>
      <c r="BA53" s="132">
        <v>241</v>
      </c>
      <c r="BB53" s="132">
        <v>364</v>
      </c>
      <c r="BC53" s="132">
        <v>382</v>
      </c>
      <c r="BD53" s="132">
        <v>18</v>
      </c>
      <c r="BE53" s="132">
        <v>0</v>
      </c>
      <c r="BF53" s="132">
        <v>0</v>
      </c>
      <c r="BG53" s="132">
        <v>261</v>
      </c>
      <c r="BH53" s="132">
        <v>87</v>
      </c>
      <c r="BI53" s="134">
        <v>30</v>
      </c>
      <c r="BJ53" s="134">
        <v>117</v>
      </c>
      <c r="BK53" s="134">
        <v>0</v>
      </c>
      <c r="BL53" s="134">
        <v>17</v>
      </c>
      <c r="BM53" s="134">
        <v>364</v>
      </c>
      <c r="BN53" s="134">
        <v>162</v>
      </c>
      <c r="BO53" s="134">
        <v>65</v>
      </c>
      <c r="BP53" s="134">
        <v>137</v>
      </c>
      <c r="BQ53" s="134">
        <v>381</v>
      </c>
      <c r="BR53" s="135">
        <v>7.4126857034967408E-2</v>
      </c>
      <c r="BS53" s="136">
        <v>27.186499999999999</v>
      </c>
      <c r="BT53" s="136">
        <v>25.797499999999999</v>
      </c>
      <c r="BU53" s="136">
        <v>22.325500000000002</v>
      </c>
      <c r="BV53" s="136">
        <v>29.742499999999996</v>
      </c>
      <c r="BW53" s="137">
        <v>0</v>
      </c>
      <c r="BX53" s="137">
        <v>0</v>
      </c>
      <c r="BY53" s="138">
        <v>0</v>
      </c>
    </row>
    <row r="54" spans="1:77">
      <c r="A54" s="130">
        <v>87</v>
      </c>
      <c r="B54" s="131" t="s">
        <v>406</v>
      </c>
      <c r="C54" s="132" t="s">
        <v>407</v>
      </c>
      <c r="D54" s="132" t="s">
        <v>143</v>
      </c>
      <c r="E54" s="133">
        <v>17.277777777777779</v>
      </c>
      <c r="F54" s="133">
        <v>3.5777777777777779</v>
      </c>
      <c r="G54" s="134">
        <v>0</v>
      </c>
      <c r="H54" s="134">
        <v>0</v>
      </c>
      <c r="I54" s="134">
        <v>31</v>
      </c>
      <c r="J54" s="134">
        <v>86</v>
      </c>
      <c r="K54" s="134">
        <v>117</v>
      </c>
      <c r="L54" s="134">
        <v>117</v>
      </c>
      <c r="M54" s="134">
        <v>31</v>
      </c>
      <c r="N54" s="134">
        <v>2</v>
      </c>
      <c r="O54" s="132">
        <v>0</v>
      </c>
      <c r="P54" s="132">
        <v>0</v>
      </c>
      <c r="Q54" s="132">
        <v>0</v>
      </c>
      <c r="R54" s="132">
        <v>0</v>
      </c>
      <c r="S54" s="132">
        <v>0</v>
      </c>
      <c r="T54" s="132">
        <v>0</v>
      </c>
      <c r="U54" s="132">
        <v>0</v>
      </c>
      <c r="V54" s="132">
        <v>15.633333333333333</v>
      </c>
      <c r="W54" s="132">
        <v>17.772222222222222</v>
      </c>
      <c r="X54" s="132">
        <v>25.088888888888889</v>
      </c>
      <c r="Y54" s="132">
        <v>17.427777777777777</v>
      </c>
      <c r="Z54" s="132">
        <v>22.344444444444445</v>
      </c>
      <c r="AA54" s="132">
        <v>16.155555555555555</v>
      </c>
      <c r="AB54" s="132">
        <v>0</v>
      </c>
      <c r="AC54" s="132">
        <v>33.405555555555551</v>
      </c>
      <c r="AD54" s="132">
        <v>81.016666666666666</v>
      </c>
      <c r="AE54" s="132">
        <v>33.405555555555551</v>
      </c>
      <c r="AF54" s="132">
        <v>114.42222222222222</v>
      </c>
      <c r="AG54" s="132">
        <v>114.42222222222222</v>
      </c>
      <c r="AH54" s="133">
        <v>21.494444444444444</v>
      </c>
      <c r="AI54" s="133">
        <v>2.9333333333333331</v>
      </c>
      <c r="AJ54" s="133">
        <v>24.427777777777777</v>
      </c>
      <c r="AK54" s="134">
        <v>0</v>
      </c>
      <c r="AL54" s="139">
        <v>0</v>
      </c>
      <c r="AM54" s="132">
        <v>0</v>
      </c>
      <c r="AN54" s="132">
        <v>0</v>
      </c>
      <c r="AO54" s="132">
        <v>0</v>
      </c>
      <c r="AP54" s="132">
        <v>0</v>
      </c>
      <c r="AQ54" s="132">
        <v>0</v>
      </c>
      <c r="AR54" s="132">
        <v>12</v>
      </c>
      <c r="AS54" s="132">
        <v>17</v>
      </c>
      <c r="AT54" s="132">
        <v>11</v>
      </c>
      <c r="AU54" s="132">
        <v>31</v>
      </c>
      <c r="AV54" s="132">
        <v>8</v>
      </c>
      <c r="AW54" s="132">
        <v>20</v>
      </c>
      <c r="AX54" s="132">
        <v>0</v>
      </c>
      <c r="AY54" s="132">
        <v>29</v>
      </c>
      <c r="AZ54" s="132">
        <v>70</v>
      </c>
      <c r="BA54" s="132">
        <v>29</v>
      </c>
      <c r="BB54" s="132">
        <v>99</v>
      </c>
      <c r="BC54" s="132">
        <v>99</v>
      </c>
      <c r="BD54" s="132">
        <v>0</v>
      </c>
      <c r="BE54" s="132">
        <v>0</v>
      </c>
      <c r="BF54" s="132">
        <v>0</v>
      </c>
      <c r="BG54" s="132">
        <v>59</v>
      </c>
      <c r="BH54" s="132">
        <v>23</v>
      </c>
      <c r="BI54" s="134">
        <v>1</v>
      </c>
      <c r="BJ54" s="134">
        <v>24</v>
      </c>
      <c r="BK54" s="134">
        <v>26</v>
      </c>
      <c r="BL54" s="134">
        <v>0</v>
      </c>
      <c r="BM54" s="134">
        <v>100</v>
      </c>
      <c r="BN54" s="134">
        <v>0</v>
      </c>
      <c r="BO54" s="134">
        <v>26</v>
      </c>
      <c r="BP54" s="134">
        <v>74</v>
      </c>
      <c r="BQ54" s="134">
        <v>100</v>
      </c>
      <c r="BR54" s="135">
        <v>7.4896753061805765E-2</v>
      </c>
      <c r="BS54" s="136">
        <v>14.417</v>
      </c>
      <c r="BT54" s="136">
        <v>13.117000000000001</v>
      </c>
      <c r="BU54" s="136">
        <v>13.117000000000001</v>
      </c>
      <c r="BV54" s="136">
        <v>16.417000000000002</v>
      </c>
      <c r="BW54" s="137">
        <v>0</v>
      </c>
      <c r="BX54" s="137">
        <v>0</v>
      </c>
      <c r="BY54" s="138">
        <v>0</v>
      </c>
    </row>
    <row r="55" spans="1:77">
      <c r="A55" s="130">
        <v>89</v>
      </c>
      <c r="B55" s="131" t="s">
        <v>408</v>
      </c>
      <c r="C55" s="132" t="s">
        <v>409</v>
      </c>
      <c r="D55" s="132" t="s">
        <v>143</v>
      </c>
      <c r="E55" s="133">
        <v>39.299999999999997</v>
      </c>
      <c r="F55" s="133">
        <v>12.544444444444444</v>
      </c>
      <c r="G55" s="134">
        <v>42</v>
      </c>
      <c r="H55" s="134">
        <v>241</v>
      </c>
      <c r="I55" s="134">
        <v>52</v>
      </c>
      <c r="J55" s="134">
        <v>0</v>
      </c>
      <c r="K55" s="134">
        <v>335</v>
      </c>
      <c r="L55" s="134">
        <v>293</v>
      </c>
      <c r="M55" s="134">
        <v>335</v>
      </c>
      <c r="N55" s="134">
        <v>11</v>
      </c>
      <c r="O55" s="132">
        <v>41.466666666666669</v>
      </c>
      <c r="P55" s="132">
        <v>33.538888888888891</v>
      </c>
      <c r="Q55" s="132">
        <v>39.166666666666664</v>
      </c>
      <c r="R55" s="132">
        <v>39.994444444444447</v>
      </c>
      <c r="S55" s="132">
        <v>41.511111111111113</v>
      </c>
      <c r="T55" s="132">
        <v>43.15</v>
      </c>
      <c r="U55" s="132">
        <v>34</v>
      </c>
      <c r="V55" s="132">
        <v>26.716666666666665</v>
      </c>
      <c r="W55" s="132">
        <v>23.233333333333334</v>
      </c>
      <c r="X55" s="132">
        <v>0</v>
      </c>
      <c r="Y55" s="132">
        <v>0</v>
      </c>
      <c r="Z55" s="132">
        <v>0</v>
      </c>
      <c r="AA55" s="132">
        <v>0</v>
      </c>
      <c r="AB55" s="132">
        <v>231.36111111111111</v>
      </c>
      <c r="AC55" s="132">
        <v>49.95</v>
      </c>
      <c r="AD55" s="132">
        <v>0</v>
      </c>
      <c r="AE55" s="132">
        <v>322.77777777777777</v>
      </c>
      <c r="AF55" s="132">
        <v>281.31111111111113</v>
      </c>
      <c r="AG55" s="132">
        <v>322.77777777777777</v>
      </c>
      <c r="AH55" s="133">
        <v>55.955555555555556</v>
      </c>
      <c r="AI55" s="133">
        <v>9.6888888888888882</v>
      </c>
      <c r="AJ55" s="133">
        <v>65.644444444444446</v>
      </c>
      <c r="AK55" s="134">
        <v>39</v>
      </c>
      <c r="AL55" s="139">
        <v>41</v>
      </c>
      <c r="AM55" s="132">
        <v>38</v>
      </c>
      <c r="AN55" s="132">
        <v>43</v>
      </c>
      <c r="AO55" s="132">
        <v>42</v>
      </c>
      <c r="AP55" s="132">
        <v>39</v>
      </c>
      <c r="AQ55" s="132">
        <v>38</v>
      </c>
      <c r="AR55" s="132">
        <v>32</v>
      </c>
      <c r="AS55" s="132">
        <v>22</v>
      </c>
      <c r="AT55" s="132">
        <v>0</v>
      </c>
      <c r="AU55" s="132">
        <v>0</v>
      </c>
      <c r="AV55" s="132">
        <v>0</v>
      </c>
      <c r="AW55" s="132">
        <v>0</v>
      </c>
      <c r="AX55" s="132">
        <v>241</v>
      </c>
      <c r="AY55" s="132">
        <v>54</v>
      </c>
      <c r="AZ55" s="132">
        <v>0</v>
      </c>
      <c r="BA55" s="132">
        <v>334</v>
      </c>
      <c r="BB55" s="132">
        <v>295</v>
      </c>
      <c r="BC55" s="132">
        <v>334</v>
      </c>
      <c r="BD55" s="132">
        <v>37</v>
      </c>
      <c r="BE55" s="132">
        <v>2</v>
      </c>
      <c r="BF55" s="132">
        <v>0</v>
      </c>
      <c r="BG55" s="132">
        <v>7</v>
      </c>
      <c r="BH55" s="132">
        <v>61</v>
      </c>
      <c r="BI55" s="134">
        <v>9</v>
      </c>
      <c r="BJ55" s="134">
        <v>70</v>
      </c>
      <c r="BK55" s="134">
        <v>0</v>
      </c>
      <c r="BL55" s="134">
        <v>42</v>
      </c>
      <c r="BM55" s="134">
        <v>293</v>
      </c>
      <c r="BN55" s="134">
        <v>241</v>
      </c>
      <c r="BO55" s="134">
        <v>52</v>
      </c>
      <c r="BP55" s="134">
        <v>0</v>
      </c>
      <c r="BQ55" s="134">
        <v>335</v>
      </c>
      <c r="BR55" s="135">
        <v>8.6574074074074137E-2</v>
      </c>
      <c r="BS55" s="136">
        <v>22.033000000000001</v>
      </c>
      <c r="BT55" s="136">
        <v>21.033000000000001</v>
      </c>
      <c r="BU55" s="136">
        <v>20.486000000000001</v>
      </c>
      <c r="BV55" s="136">
        <v>26.033000000000001</v>
      </c>
      <c r="BW55" s="137">
        <v>0</v>
      </c>
      <c r="BX55" s="137">
        <v>0</v>
      </c>
      <c r="BY55" s="138">
        <v>0</v>
      </c>
    </row>
    <row r="56" spans="1:77">
      <c r="A56" s="130">
        <v>91</v>
      </c>
      <c r="B56" s="131" t="s">
        <v>410</v>
      </c>
      <c r="C56" s="132" t="s">
        <v>411</v>
      </c>
      <c r="D56" s="132" t="s">
        <v>143</v>
      </c>
      <c r="E56" s="133">
        <v>17.350000000000001</v>
      </c>
      <c r="F56" s="133">
        <v>0</v>
      </c>
      <c r="G56" s="134">
        <v>0</v>
      </c>
      <c r="H56" s="134">
        <v>0</v>
      </c>
      <c r="I56" s="134">
        <v>0</v>
      </c>
      <c r="J56" s="134">
        <v>274</v>
      </c>
      <c r="K56" s="134">
        <v>274</v>
      </c>
      <c r="L56" s="134">
        <v>274</v>
      </c>
      <c r="M56" s="134">
        <v>0</v>
      </c>
      <c r="N56" s="134">
        <v>0</v>
      </c>
      <c r="O56" s="132">
        <v>0</v>
      </c>
      <c r="P56" s="132">
        <v>0</v>
      </c>
      <c r="Q56" s="132">
        <v>0</v>
      </c>
      <c r="R56" s="132">
        <v>0</v>
      </c>
      <c r="S56" s="132">
        <v>0</v>
      </c>
      <c r="T56" s="132">
        <v>0</v>
      </c>
      <c r="U56" s="132">
        <v>0</v>
      </c>
      <c r="V56" s="132">
        <v>0</v>
      </c>
      <c r="W56" s="132">
        <v>0</v>
      </c>
      <c r="X56" s="132">
        <v>53</v>
      </c>
      <c r="Y56" s="132">
        <v>88.25555555555556</v>
      </c>
      <c r="Z56" s="132">
        <v>62.3</v>
      </c>
      <c r="AA56" s="132">
        <v>68.327777777777783</v>
      </c>
      <c r="AB56" s="132">
        <v>0</v>
      </c>
      <c r="AC56" s="132">
        <v>0</v>
      </c>
      <c r="AD56" s="132">
        <v>271.88333333333333</v>
      </c>
      <c r="AE56" s="132">
        <v>0</v>
      </c>
      <c r="AF56" s="132">
        <v>271.88333333333333</v>
      </c>
      <c r="AG56" s="132">
        <v>271.88333333333333</v>
      </c>
      <c r="AH56" s="133">
        <v>30.633333333333333</v>
      </c>
      <c r="AI56" s="133">
        <v>0</v>
      </c>
      <c r="AJ56" s="133">
        <v>30.633333333333333</v>
      </c>
      <c r="AK56" s="134">
        <v>0</v>
      </c>
      <c r="AL56" s="139">
        <v>0</v>
      </c>
      <c r="AM56" s="132">
        <v>0</v>
      </c>
      <c r="AN56" s="132">
        <v>0</v>
      </c>
      <c r="AO56" s="132">
        <v>0</v>
      </c>
      <c r="AP56" s="132">
        <v>0</v>
      </c>
      <c r="AQ56" s="132">
        <v>0</v>
      </c>
      <c r="AR56" s="132">
        <v>0</v>
      </c>
      <c r="AS56" s="132">
        <v>0</v>
      </c>
      <c r="AT56" s="132">
        <v>44</v>
      </c>
      <c r="AU56" s="132">
        <v>79</v>
      </c>
      <c r="AV56" s="132">
        <v>92</v>
      </c>
      <c r="AW56" s="132">
        <v>65</v>
      </c>
      <c r="AX56" s="132">
        <v>0</v>
      </c>
      <c r="AY56" s="132">
        <v>0</v>
      </c>
      <c r="AZ56" s="132">
        <v>280</v>
      </c>
      <c r="BA56" s="132">
        <v>0</v>
      </c>
      <c r="BB56" s="132">
        <v>280</v>
      </c>
      <c r="BC56" s="132">
        <v>280</v>
      </c>
      <c r="BD56" s="132">
        <v>0</v>
      </c>
      <c r="BE56" s="132">
        <v>0</v>
      </c>
      <c r="BF56" s="132">
        <v>0</v>
      </c>
      <c r="BG56" s="132">
        <v>76</v>
      </c>
      <c r="BH56" s="132">
        <v>23</v>
      </c>
      <c r="BI56" s="134">
        <v>0</v>
      </c>
      <c r="BJ56" s="134">
        <v>23</v>
      </c>
      <c r="BK56" s="134">
        <v>1</v>
      </c>
      <c r="BL56" s="134">
        <v>0</v>
      </c>
      <c r="BM56" s="134">
        <v>275</v>
      </c>
      <c r="BN56" s="134">
        <v>0</v>
      </c>
      <c r="BO56" s="134">
        <v>33</v>
      </c>
      <c r="BP56" s="134">
        <v>242</v>
      </c>
      <c r="BQ56" s="134">
        <v>275</v>
      </c>
      <c r="BR56" s="135">
        <v>8.0513698630136965E-2</v>
      </c>
      <c r="BS56" s="136">
        <v>20.75</v>
      </c>
      <c r="BT56" s="136">
        <v>19.75</v>
      </c>
      <c r="BU56" s="136">
        <v>19.899999999999999</v>
      </c>
      <c r="BV56" s="136">
        <v>20.9</v>
      </c>
      <c r="BW56" s="137">
        <v>0</v>
      </c>
      <c r="BX56" s="137">
        <v>0</v>
      </c>
      <c r="BY56" s="138">
        <v>0</v>
      </c>
    </row>
    <row r="57" spans="1:77">
      <c r="A57" s="130">
        <v>92</v>
      </c>
      <c r="B57" s="131" t="s">
        <v>412</v>
      </c>
      <c r="C57" s="132" t="s">
        <v>413</v>
      </c>
      <c r="D57" s="132" t="s">
        <v>143</v>
      </c>
      <c r="E57" s="133">
        <v>8.3944444444444439</v>
      </c>
      <c r="F57" s="133">
        <v>6.6666666666666666E-2</v>
      </c>
      <c r="G57" s="134">
        <v>0</v>
      </c>
      <c r="H57" s="134">
        <v>0</v>
      </c>
      <c r="I57" s="134">
        <v>0</v>
      </c>
      <c r="J57" s="134">
        <v>75</v>
      </c>
      <c r="K57" s="134">
        <v>75</v>
      </c>
      <c r="L57" s="134">
        <v>75</v>
      </c>
      <c r="M57" s="134">
        <v>0</v>
      </c>
      <c r="N57" s="134">
        <v>0</v>
      </c>
      <c r="O57" s="132">
        <v>0</v>
      </c>
      <c r="P57" s="132">
        <v>0</v>
      </c>
      <c r="Q57" s="132">
        <v>0</v>
      </c>
      <c r="R57" s="132">
        <v>0</v>
      </c>
      <c r="S57" s="132">
        <v>0</v>
      </c>
      <c r="T57" s="132">
        <v>0</v>
      </c>
      <c r="U57" s="132">
        <v>0</v>
      </c>
      <c r="V57" s="132">
        <v>0</v>
      </c>
      <c r="W57" s="132">
        <v>0</v>
      </c>
      <c r="X57" s="132">
        <v>19.922222222222221</v>
      </c>
      <c r="Y57" s="132">
        <v>20</v>
      </c>
      <c r="Z57" s="132">
        <v>16.81111111111111</v>
      </c>
      <c r="AA57" s="132">
        <v>19.733333333333334</v>
      </c>
      <c r="AB57" s="132">
        <v>0</v>
      </c>
      <c r="AC57" s="132">
        <v>0</v>
      </c>
      <c r="AD57" s="132">
        <v>76.466666666666669</v>
      </c>
      <c r="AE57" s="132">
        <v>0</v>
      </c>
      <c r="AF57" s="132">
        <v>76.466666666666669</v>
      </c>
      <c r="AG57" s="132">
        <v>76.466666666666669</v>
      </c>
      <c r="AH57" s="133">
        <v>11.305555555555555</v>
      </c>
      <c r="AI57" s="133">
        <v>0</v>
      </c>
      <c r="AJ57" s="133">
        <v>11.305555555555555</v>
      </c>
      <c r="AK57" s="134">
        <v>0</v>
      </c>
      <c r="AL57" s="139">
        <v>0</v>
      </c>
      <c r="AM57" s="132">
        <v>0</v>
      </c>
      <c r="AN57" s="132">
        <v>0</v>
      </c>
      <c r="AO57" s="132">
        <v>0</v>
      </c>
      <c r="AP57" s="132">
        <v>0</v>
      </c>
      <c r="AQ57" s="132">
        <v>0</v>
      </c>
      <c r="AR57" s="132">
        <v>0</v>
      </c>
      <c r="AS57" s="132">
        <v>0</v>
      </c>
      <c r="AT57" s="132">
        <v>20</v>
      </c>
      <c r="AU57" s="132">
        <v>21</v>
      </c>
      <c r="AV57" s="132">
        <v>21</v>
      </c>
      <c r="AW57" s="132">
        <v>17</v>
      </c>
      <c r="AX57" s="132">
        <v>0</v>
      </c>
      <c r="AY57" s="132">
        <v>0</v>
      </c>
      <c r="AZ57" s="132">
        <v>79</v>
      </c>
      <c r="BA57" s="132">
        <v>0</v>
      </c>
      <c r="BB57" s="132">
        <v>79</v>
      </c>
      <c r="BC57" s="132">
        <v>79</v>
      </c>
      <c r="BD57" s="132">
        <v>0</v>
      </c>
      <c r="BE57" s="132">
        <v>0</v>
      </c>
      <c r="BF57" s="132">
        <v>0</v>
      </c>
      <c r="BG57" s="132">
        <v>33</v>
      </c>
      <c r="BH57" s="132">
        <v>14</v>
      </c>
      <c r="BI57" s="134">
        <v>0</v>
      </c>
      <c r="BJ57" s="134">
        <v>14</v>
      </c>
      <c r="BK57" s="134">
        <v>0</v>
      </c>
      <c r="BL57" s="134">
        <v>0</v>
      </c>
      <c r="BM57" s="134">
        <v>77</v>
      </c>
      <c r="BN57" s="134">
        <v>0</v>
      </c>
      <c r="BO57" s="134">
        <v>0</v>
      </c>
      <c r="BP57" s="134">
        <v>77</v>
      </c>
      <c r="BQ57" s="134">
        <v>77</v>
      </c>
      <c r="BR57" s="135">
        <v>8.4308821026526259E-2</v>
      </c>
      <c r="BS57" s="136">
        <v>11.923</v>
      </c>
      <c r="BT57" s="136">
        <v>10.923</v>
      </c>
      <c r="BU57" s="136">
        <v>10.923</v>
      </c>
      <c r="BV57" s="136">
        <v>11.923</v>
      </c>
      <c r="BW57" s="137">
        <v>0</v>
      </c>
      <c r="BX57" s="137">
        <v>0</v>
      </c>
      <c r="BY57" s="138">
        <v>0</v>
      </c>
    </row>
    <row r="58" spans="1:77">
      <c r="A58" s="130">
        <v>93</v>
      </c>
      <c r="B58" s="131" t="s">
        <v>414</v>
      </c>
      <c r="C58" s="132" t="s">
        <v>415</v>
      </c>
      <c r="D58" s="132" t="s">
        <v>143</v>
      </c>
      <c r="E58" s="133">
        <v>35.133333333333333</v>
      </c>
      <c r="F58" s="133">
        <v>7.6055555555555552</v>
      </c>
      <c r="G58" s="134">
        <v>22</v>
      </c>
      <c r="H58" s="134">
        <v>147</v>
      </c>
      <c r="I58" s="134">
        <v>15</v>
      </c>
      <c r="J58" s="134">
        <v>0</v>
      </c>
      <c r="K58" s="134">
        <v>184</v>
      </c>
      <c r="L58" s="134">
        <v>162</v>
      </c>
      <c r="M58" s="134">
        <v>184</v>
      </c>
      <c r="N58" s="134">
        <v>11</v>
      </c>
      <c r="O58" s="132">
        <v>22.488888888888887</v>
      </c>
      <c r="P58" s="132">
        <v>23.716666666666665</v>
      </c>
      <c r="Q58" s="132">
        <v>22.083333333333332</v>
      </c>
      <c r="R58" s="132">
        <v>24.266666666666666</v>
      </c>
      <c r="S58" s="132">
        <v>22.255555555555556</v>
      </c>
      <c r="T58" s="132">
        <v>26.68888888888889</v>
      </c>
      <c r="U58" s="132">
        <v>22.95</v>
      </c>
      <c r="V58" s="132">
        <v>6.2722222222222221</v>
      </c>
      <c r="W58" s="132">
        <v>6.5</v>
      </c>
      <c r="X58" s="132">
        <v>0</v>
      </c>
      <c r="Y58" s="132">
        <v>0</v>
      </c>
      <c r="Z58" s="132">
        <v>0</v>
      </c>
      <c r="AA58" s="132">
        <v>0</v>
      </c>
      <c r="AB58" s="132">
        <v>141.96111111111111</v>
      </c>
      <c r="AC58" s="132">
        <v>12.772222222222222</v>
      </c>
      <c r="AD58" s="132">
        <v>0</v>
      </c>
      <c r="AE58" s="132">
        <v>177.2222222222222</v>
      </c>
      <c r="AF58" s="132">
        <v>154.73333333333332</v>
      </c>
      <c r="AG58" s="132">
        <v>177.2222222222222</v>
      </c>
      <c r="AH58" s="133">
        <v>40.033333333333331</v>
      </c>
      <c r="AI58" s="133">
        <v>4.4000000000000004</v>
      </c>
      <c r="AJ58" s="133">
        <v>44.43333333333333</v>
      </c>
      <c r="AK58" s="134">
        <v>114</v>
      </c>
      <c r="AL58" s="139">
        <v>121</v>
      </c>
      <c r="AM58" s="132">
        <v>123</v>
      </c>
      <c r="AN58" s="132">
        <v>126</v>
      </c>
      <c r="AO58" s="132">
        <v>120</v>
      </c>
      <c r="AP58" s="132">
        <v>126</v>
      </c>
      <c r="AQ58" s="132">
        <v>99</v>
      </c>
      <c r="AR58" s="132">
        <v>79</v>
      </c>
      <c r="AS58" s="132">
        <v>24</v>
      </c>
      <c r="AT58" s="132">
        <v>0</v>
      </c>
      <c r="AU58" s="132">
        <v>0</v>
      </c>
      <c r="AV58" s="132">
        <v>0</v>
      </c>
      <c r="AW58" s="132">
        <v>0</v>
      </c>
      <c r="AX58" s="132">
        <v>715</v>
      </c>
      <c r="AY58" s="132">
        <v>103</v>
      </c>
      <c r="AZ58" s="132">
        <v>0</v>
      </c>
      <c r="BA58" s="132">
        <v>932</v>
      </c>
      <c r="BB58" s="132">
        <v>818</v>
      </c>
      <c r="BC58" s="132">
        <v>932</v>
      </c>
      <c r="BD58" s="132">
        <v>81</v>
      </c>
      <c r="BE58" s="132">
        <v>33</v>
      </c>
      <c r="BF58" s="132">
        <v>0</v>
      </c>
      <c r="BG58" s="132">
        <v>213</v>
      </c>
      <c r="BH58" s="132">
        <v>114</v>
      </c>
      <c r="BI58" s="134">
        <v>10</v>
      </c>
      <c r="BJ58" s="134">
        <v>124</v>
      </c>
      <c r="BK58" s="134">
        <v>0</v>
      </c>
      <c r="BL58" s="134">
        <v>108</v>
      </c>
      <c r="BM58" s="134">
        <v>821</v>
      </c>
      <c r="BN58" s="134">
        <v>662</v>
      </c>
      <c r="BO58" s="134">
        <v>159</v>
      </c>
      <c r="BP58" s="134">
        <v>0</v>
      </c>
      <c r="BQ58" s="134">
        <v>929</v>
      </c>
      <c r="BR58" s="135">
        <v>6.5619497358732182E-2</v>
      </c>
      <c r="BS58" s="136">
        <v>55.138000000000005</v>
      </c>
      <c r="BT58" s="136">
        <v>52.138000000000005</v>
      </c>
      <c r="BU58" s="136">
        <v>52.138000000000005</v>
      </c>
      <c r="BV58" s="136">
        <v>59.623999999999988</v>
      </c>
      <c r="BW58" s="137">
        <v>0</v>
      </c>
      <c r="BX58" s="137">
        <v>0</v>
      </c>
      <c r="BY58" s="138">
        <v>0</v>
      </c>
    </row>
    <row r="59" spans="1:77">
      <c r="A59" s="130">
        <v>94</v>
      </c>
      <c r="B59" s="131" t="s">
        <v>416</v>
      </c>
      <c r="C59" s="132" t="s">
        <v>417</v>
      </c>
      <c r="D59" s="132" t="s">
        <v>143</v>
      </c>
      <c r="E59" s="133">
        <v>214.88333333333333</v>
      </c>
      <c r="F59" s="133">
        <v>54.527777777777779</v>
      </c>
      <c r="G59" s="134">
        <v>142</v>
      </c>
      <c r="H59" s="134">
        <v>811</v>
      </c>
      <c r="I59" s="134">
        <v>265</v>
      </c>
      <c r="J59" s="134">
        <v>0</v>
      </c>
      <c r="K59" s="134">
        <v>1218</v>
      </c>
      <c r="L59" s="134">
        <v>1076</v>
      </c>
      <c r="M59" s="134">
        <v>1218</v>
      </c>
      <c r="N59" s="134">
        <v>33</v>
      </c>
      <c r="O59" s="132">
        <v>141.98888888888888</v>
      </c>
      <c r="P59" s="132">
        <v>140.07222222222222</v>
      </c>
      <c r="Q59" s="132">
        <v>132.99444444444444</v>
      </c>
      <c r="R59" s="132">
        <v>118.08333333333333</v>
      </c>
      <c r="S59" s="132">
        <v>140.27777777777777</v>
      </c>
      <c r="T59" s="132">
        <v>130.36111111111111</v>
      </c>
      <c r="U59" s="132">
        <v>133.12222222222223</v>
      </c>
      <c r="V59" s="132">
        <v>141.80555555555554</v>
      </c>
      <c r="W59" s="132">
        <v>118.74444444444444</v>
      </c>
      <c r="X59" s="132">
        <v>0</v>
      </c>
      <c r="Y59" s="132">
        <v>0</v>
      </c>
      <c r="Z59" s="132">
        <v>0</v>
      </c>
      <c r="AA59" s="132">
        <v>0</v>
      </c>
      <c r="AB59" s="132">
        <v>794.91111111111104</v>
      </c>
      <c r="AC59" s="132">
        <v>260.54999999999995</v>
      </c>
      <c r="AD59" s="132">
        <v>0</v>
      </c>
      <c r="AE59" s="132">
        <v>1197.4500000000003</v>
      </c>
      <c r="AF59" s="132">
        <v>1055.461111111111</v>
      </c>
      <c r="AG59" s="132">
        <v>1197.4500000000003</v>
      </c>
      <c r="AH59" s="133">
        <v>235.47222222222223</v>
      </c>
      <c r="AI59" s="133">
        <v>8.9777777777777779</v>
      </c>
      <c r="AJ59" s="133">
        <v>244.45000000000002</v>
      </c>
      <c r="AK59" s="134">
        <v>132</v>
      </c>
      <c r="AL59" s="139">
        <v>134</v>
      </c>
      <c r="AM59" s="132">
        <v>141</v>
      </c>
      <c r="AN59" s="132">
        <v>131</v>
      </c>
      <c r="AO59" s="132">
        <v>118</v>
      </c>
      <c r="AP59" s="132">
        <v>143</v>
      </c>
      <c r="AQ59" s="132">
        <v>134</v>
      </c>
      <c r="AR59" s="132">
        <v>130</v>
      </c>
      <c r="AS59" s="132">
        <v>140</v>
      </c>
      <c r="AT59" s="132">
        <v>0</v>
      </c>
      <c r="AU59" s="132">
        <v>0</v>
      </c>
      <c r="AV59" s="132">
        <v>0</v>
      </c>
      <c r="AW59" s="132">
        <v>0</v>
      </c>
      <c r="AX59" s="132">
        <v>801</v>
      </c>
      <c r="AY59" s="132">
        <v>270</v>
      </c>
      <c r="AZ59" s="132">
        <v>0</v>
      </c>
      <c r="BA59" s="132">
        <v>1203</v>
      </c>
      <c r="BB59" s="132">
        <v>1071</v>
      </c>
      <c r="BC59" s="132">
        <v>1203</v>
      </c>
      <c r="BD59" s="132">
        <v>27</v>
      </c>
      <c r="BE59" s="132">
        <v>105</v>
      </c>
      <c r="BF59" s="132">
        <v>0</v>
      </c>
      <c r="BG59" s="132">
        <v>299</v>
      </c>
      <c r="BH59" s="132">
        <v>208</v>
      </c>
      <c r="BI59" s="134">
        <v>5</v>
      </c>
      <c r="BJ59" s="134">
        <v>213</v>
      </c>
      <c r="BK59" s="134">
        <v>76</v>
      </c>
      <c r="BL59" s="134">
        <v>139</v>
      </c>
      <c r="BM59" s="134">
        <v>1052</v>
      </c>
      <c r="BN59" s="134">
        <v>793</v>
      </c>
      <c r="BO59" s="134">
        <v>259</v>
      </c>
      <c r="BP59" s="134">
        <v>0</v>
      </c>
      <c r="BQ59" s="134">
        <v>1191</v>
      </c>
      <c r="BR59" s="135">
        <v>7.3805059806341389E-2</v>
      </c>
      <c r="BS59" s="136">
        <v>69.510000000000005</v>
      </c>
      <c r="BT59" s="136">
        <v>66.509999999999991</v>
      </c>
      <c r="BU59" s="136">
        <v>60.91</v>
      </c>
      <c r="BV59" s="136">
        <v>70.209999999999994</v>
      </c>
      <c r="BW59" s="137">
        <v>0</v>
      </c>
      <c r="BX59" s="137">
        <v>0</v>
      </c>
      <c r="BY59" s="138">
        <v>0</v>
      </c>
    </row>
    <row r="60" spans="1:77">
      <c r="A60" s="130">
        <v>95</v>
      </c>
      <c r="B60" s="131" t="s">
        <v>418</v>
      </c>
      <c r="C60" s="132" t="s">
        <v>419</v>
      </c>
      <c r="D60" s="132" t="s">
        <v>143</v>
      </c>
      <c r="E60" s="133">
        <v>76.083333333333329</v>
      </c>
      <c r="F60" s="133">
        <v>7.8611111111111107</v>
      </c>
      <c r="G60" s="134">
        <v>68</v>
      </c>
      <c r="H60" s="134">
        <v>452</v>
      </c>
      <c r="I60" s="134">
        <v>0</v>
      </c>
      <c r="J60" s="134">
        <v>0</v>
      </c>
      <c r="K60" s="134">
        <v>520</v>
      </c>
      <c r="L60" s="134">
        <v>452</v>
      </c>
      <c r="M60" s="134">
        <v>520</v>
      </c>
      <c r="N60" s="134">
        <v>6</v>
      </c>
      <c r="O60" s="132">
        <v>66.25555555555556</v>
      </c>
      <c r="P60" s="132">
        <v>73.522222222222226</v>
      </c>
      <c r="Q60" s="132">
        <v>74.87222222222222</v>
      </c>
      <c r="R60" s="132">
        <v>74.477777777777774</v>
      </c>
      <c r="S60" s="132">
        <v>72.522222222222226</v>
      </c>
      <c r="T60" s="132">
        <v>72.083333333333329</v>
      </c>
      <c r="U60" s="132">
        <v>72.266666666666666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439.74444444444441</v>
      </c>
      <c r="AC60" s="132">
        <v>0</v>
      </c>
      <c r="AD60" s="132">
        <v>0</v>
      </c>
      <c r="AE60" s="132">
        <v>505.99999999999994</v>
      </c>
      <c r="AF60" s="132">
        <v>439.74444444444441</v>
      </c>
      <c r="AG60" s="132">
        <v>505.99999999999994</v>
      </c>
      <c r="AH60" s="133">
        <v>72.594444444444449</v>
      </c>
      <c r="AI60" s="133">
        <v>7</v>
      </c>
      <c r="AJ60" s="133">
        <v>79.594444444444449</v>
      </c>
      <c r="AK60" s="134">
        <v>72</v>
      </c>
      <c r="AL60" s="139">
        <v>67</v>
      </c>
      <c r="AM60" s="132">
        <v>78</v>
      </c>
      <c r="AN60" s="132">
        <v>75</v>
      </c>
      <c r="AO60" s="132">
        <v>72</v>
      </c>
      <c r="AP60" s="132">
        <v>76</v>
      </c>
      <c r="AQ60" s="132">
        <v>74</v>
      </c>
      <c r="AR60" s="132">
        <v>0</v>
      </c>
      <c r="AS60" s="132">
        <v>0</v>
      </c>
      <c r="AT60" s="132">
        <v>0</v>
      </c>
      <c r="AU60" s="132">
        <v>0</v>
      </c>
      <c r="AV60" s="132">
        <v>0</v>
      </c>
      <c r="AW60" s="132">
        <v>0</v>
      </c>
      <c r="AX60" s="132">
        <v>442</v>
      </c>
      <c r="AY60" s="132">
        <v>0</v>
      </c>
      <c r="AZ60" s="132">
        <v>0</v>
      </c>
      <c r="BA60" s="132">
        <v>514</v>
      </c>
      <c r="BB60" s="132">
        <v>442</v>
      </c>
      <c r="BC60" s="132">
        <v>514</v>
      </c>
      <c r="BD60" s="132">
        <v>0</v>
      </c>
      <c r="BE60" s="132">
        <v>72</v>
      </c>
      <c r="BF60" s="132">
        <v>0</v>
      </c>
      <c r="BG60" s="132">
        <v>26</v>
      </c>
      <c r="BH60" s="132">
        <v>68</v>
      </c>
      <c r="BI60" s="134">
        <v>8</v>
      </c>
      <c r="BJ60" s="134">
        <v>76</v>
      </c>
      <c r="BK60" s="134">
        <v>9</v>
      </c>
      <c r="BL60" s="134">
        <v>67</v>
      </c>
      <c r="BM60" s="134">
        <v>443</v>
      </c>
      <c r="BN60" s="134">
        <v>443</v>
      </c>
      <c r="BO60" s="134">
        <v>0</v>
      </c>
      <c r="BP60" s="134">
        <v>0</v>
      </c>
      <c r="BQ60" s="134">
        <v>510</v>
      </c>
      <c r="BR60" s="135">
        <v>7.5382761553728528E-2</v>
      </c>
      <c r="BS60" s="136">
        <v>25.689</v>
      </c>
      <c r="BT60" s="136">
        <v>24.689</v>
      </c>
      <c r="BU60" s="136">
        <v>24.689</v>
      </c>
      <c r="BV60" s="136">
        <v>25.689</v>
      </c>
      <c r="BW60" s="137">
        <v>0</v>
      </c>
      <c r="BX60" s="137">
        <v>0</v>
      </c>
      <c r="BY60" s="138">
        <v>0</v>
      </c>
    </row>
    <row r="61" spans="1:77">
      <c r="A61" s="130">
        <v>97</v>
      </c>
      <c r="B61" s="131" t="s">
        <v>420</v>
      </c>
      <c r="C61" s="132" t="s">
        <v>421</v>
      </c>
      <c r="D61" s="132" t="s">
        <v>143</v>
      </c>
      <c r="E61" s="133">
        <v>34.62222222222222</v>
      </c>
      <c r="F61" s="133">
        <v>1</v>
      </c>
      <c r="G61" s="134">
        <v>0</v>
      </c>
      <c r="H61" s="134">
        <v>200</v>
      </c>
      <c r="I61" s="134">
        <v>204</v>
      </c>
      <c r="J61" s="134">
        <v>0</v>
      </c>
      <c r="K61" s="134">
        <v>404</v>
      </c>
      <c r="L61" s="134">
        <v>404</v>
      </c>
      <c r="M61" s="134">
        <v>404</v>
      </c>
      <c r="N61" s="134">
        <v>2</v>
      </c>
      <c r="O61" s="132">
        <v>0</v>
      </c>
      <c r="P61" s="132">
        <v>0</v>
      </c>
      <c r="Q61" s="132">
        <v>0</v>
      </c>
      <c r="R61" s="132">
        <v>0</v>
      </c>
      <c r="S61" s="132">
        <v>0</v>
      </c>
      <c r="T61" s="132">
        <v>98.966666666666669</v>
      </c>
      <c r="U61" s="132">
        <v>101.26111111111111</v>
      </c>
      <c r="V61" s="132">
        <v>98.305555555555557</v>
      </c>
      <c r="W61" s="132">
        <v>103.63888888888889</v>
      </c>
      <c r="X61" s="132">
        <v>0</v>
      </c>
      <c r="Y61" s="132">
        <v>0</v>
      </c>
      <c r="Z61" s="132">
        <v>0</v>
      </c>
      <c r="AA61" s="132">
        <v>0</v>
      </c>
      <c r="AB61" s="132">
        <v>200.22777777777776</v>
      </c>
      <c r="AC61" s="132">
        <v>201.94444444444446</v>
      </c>
      <c r="AD61" s="132">
        <v>0</v>
      </c>
      <c r="AE61" s="132">
        <v>402.17222222222222</v>
      </c>
      <c r="AF61" s="132">
        <v>402.17222222222222</v>
      </c>
      <c r="AG61" s="132">
        <v>402.17222222222222</v>
      </c>
      <c r="AH61" s="133">
        <v>42.2</v>
      </c>
      <c r="AI61" s="133">
        <v>2</v>
      </c>
      <c r="AJ61" s="133">
        <v>44.2</v>
      </c>
      <c r="AK61" s="134">
        <v>0</v>
      </c>
      <c r="AL61" s="139">
        <v>0</v>
      </c>
      <c r="AM61" s="132">
        <v>0</v>
      </c>
      <c r="AN61" s="132">
        <v>0</v>
      </c>
      <c r="AO61" s="132">
        <v>0</v>
      </c>
      <c r="AP61" s="132">
        <v>102</v>
      </c>
      <c r="AQ61" s="132">
        <v>102</v>
      </c>
      <c r="AR61" s="132">
        <v>103</v>
      </c>
      <c r="AS61" s="132">
        <v>99</v>
      </c>
      <c r="AT61" s="132">
        <v>0</v>
      </c>
      <c r="AU61" s="132">
        <v>0</v>
      </c>
      <c r="AV61" s="132">
        <v>0</v>
      </c>
      <c r="AW61" s="132">
        <v>0</v>
      </c>
      <c r="AX61" s="132">
        <v>204</v>
      </c>
      <c r="AY61" s="132">
        <v>202</v>
      </c>
      <c r="AZ61" s="132">
        <v>0</v>
      </c>
      <c r="BA61" s="132">
        <v>406</v>
      </c>
      <c r="BB61" s="132">
        <v>406</v>
      </c>
      <c r="BC61" s="132">
        <v>406</v>
      </c>
      <c r="BD61" s="132">
        <v>0</v>
      </c>
      <c r="BE61" s="132">
        <v>0</v>
      </c>
      <c r="BF61" s="132">
        <v>0</v>
      </c>
      <c r="BG61" s="132">
        <v>55</v>
      </c>
      <c r="BH61" s="132">
        <v>46</v>
      </c>
      <c r="BI61" s="134">
        <v>1</v>
      </c>
      <c r="BJ61" s="134">
        <v>47</v>
      </c>
      <c r="BK61" s="134">
        <v>3</v>
      </c>
      <c r="BL61" s="134">
        <v>0</v>
      </c>
      <c r="BM61" s="134">
        <v>400</v>
      </c>
      <c r="BN61" s="134">
        <v>200</v>
      </c>
      <c r="BO61" s="134">
        <v>200</v>
      </c>
      <c r="BP61" s="134">
        <v>0</v>
      </c>
      <c r="BQ61" s="134">
        <v>400</v>
      </c>
      <c r="BR61" s="135">
        <v>9.6995192307692268E-2</v>
      </c>
      <c r="BS61" s="136">
        <v>27.099999999999998</v>
      </c>
      <c r="BT61" s="136">
        <v>26.1</v>
      </c>
      <c r="BU61" s="136">
        <v>24.299999999999997</v>
      </c>
      <c r="BV61" s="136">
        <v>27.099999999999998</v>
      </c>
      <c r="BW61" s="137">
        <v>0</v>
      </c>
      <c r="BX61" s="137">
        <v>0</v>
      </c>
      <c r="BY61" s="138">
        <v>0</v>
      </c>
    </row>
    <row r="62" spans="1:77">
      <c r="A62" s="130">
        <v>98</v>
      </c>
      <c r="B62" s="131" t="s">
        <v>422</v>
      </c>
      <c r="C62" s="132" t="s">
        <v>423</v>
      </c>
      <c r="D62" s="132" t="s">
        <v>143</v>
      </c>
      <c r="E62" s="133">
        <v>58.044444444444444</v>
      </c>
      <c r="F62" s="133">
        <v>0</v>
      </c>
      <c r="G62" s="134">
        <v>0</v>
      </c>
      <c r="H62" s="134">
        <v>0</v>
      </c>
      <c r="I62" s="134">
        <v>0</v>
      </c>
      <c r="J62" s="134">
        <v>420</v>
      </c>
      <c r="K62" s="134">
        <v>420</v>
      </c>
      <c r="L62" s="134">
        <v>420</v>
      </c>
      <c r="M62" s="134">
        <v>0</v>
      </c>
      <c r="N62" s="134">
        <v>0</v>
      </c>
      <c r="O62" s="132">
        <v>0</v>
      </c>
      <c r="P62" s="132">
        <v>0</v>
      </c>
      <c r="Q62" s="132">
        <v>0</v>
      </c>
      <c r="R62" s="132">
        <v>0</v>
      </c>
      <c r="S62" s="132">
        <v>0</v>
      </c>
      <c r="T62" s="132">
        <v>0</v>
      </c>
      <c r="U62" s="132">
        <v>0</v>
      </c>
      <c r="V62" s="132">
        <v>0</v>
      </c>
      <c r="W62" s="132">
        <v>0</v>
      </c>
      <c r="X62" s="132">
        <v>64.99444444444444</v>
      </c>
      <c r="Y62" s="132">
        <v>107.07777777777778</v>
      </c>
      <c r="Z62" s="132">
        <v>157.23333333333332</v>
      </c>
      <c r="AA62" s="132">
        <v>101.60555555555555</v>
      </c>
      <c r="AB62" s="132">
        <v>0</v>
      </c>
      <c r="AC62" s="132">
        <v>0</v>
      </c>
      <c r="AD62" s="132">
        <v>430.9111111111111</v>
      </c>
      <c r="AE62" s="132">
        <v>0</v>
      </c>
      <c r="AF62" s="132">
        <v>430.9111111111111</v>
      </c>
      <c r="AG62" s="132">
        <v>430.9111111111111</v>
      </c>
      <c r="AH62" s="133">
        <v>89.594444444444449</v>
      </c>
      <c r="AI62" s="133">
        <v>0</v>
      </c>
      <c r="AJ62" s="133">
        <v>89.594444444444449</v>
      </c>
      <c r="AK62" s="134">
        <v>0</v>
      </c>
      <c r="AL62" s="139">
        <v>0</v>
      </c>
      <c r="AM62" s="132">
        <v>0</v>
      </c>
      <c r="AN62" s="132">
        <v>0</v>
      </c>
      <c r="AO62" s="132">
        <v>0</v>
      </c>
      <c r="AP62" s="132">
        <v>0</v>
      </c>
      <c r="AQ62" s="132">
        <v>0</v>
      </c>
      <c r="AR62" s="132">
        <v>0</v>
      </c>
      <c r="AS62" s="132">
        <v>0</v>
      </c>
      <c r="AT62" s="132">
        <v>55</v>
      </c>
      <c r="AU62" s="132">
        <v>103</v>
      </c>
      <c r="AV62" s="132">
        <v>136</v>
      </c>
      <c r="AW62" s="132">
        <v>154</v>
      </c>
      <c r="AX62" s="132">
        <v>0</v>
      </c>
      <c r="AY62" s="132">
        <v>0</v>
      </c>
      <c r="AZ62" s="132">
        <v>448</v>
      </c>
      <c r="BA62" s="132">
        <v>0</v>
      </c>
      <c r="BB62" s="132">
        <v>448</v>
      </c>
      <c r="BC62" s="132">
        <v>448</v>
      </c>
      <c r="BD62" s="132">
        <v>0</v>
      </c>
      <c r="BE62" s="132">
        <v>0</v>
      </c>
      <c r="BF62" s="132">
        <v>0</v>
      </c>
      <c r="BG62" s="132">
        <v>158</v>
      </c>
      <c r="BH62" s="132">
        <v>95</v>
      </c>
      <c r="BI62" s="134">
        <v>0</v>
      </c>
      <c r="BJ62" s="134">
        <v>95</v>
      </c>
      <c r="BK62" s="134">
        <v>15</v>
      </c>
      <c r="BL62" s="134">
        <v>0</v>
      </c>
      <c r="BM62" s="134">
        <v>420</v>
      </c>
      <c r="BN62" s="134">
        <v>0</v>
      </c>
      <c r="BO62" s="134">
        <v>0</v>
      </c>
      <c r="BP62" s="134">
        <v>420</v>
      </c>
      <c r="BQ62" s="134">
        <v>420</v>
      </c>
      <c r="BR62" s="135">
        <v>7.1400491400491484E-2</v>
      </c>
      <c r="BS62" s="136">
        <v>20.3</v>
      </c>
      <c r="BT62" s="136">
        <v>19</v>
      </c>
      <c r="BU62" s="136">
        <v>19</v>
      </c>
      <c r="BV62" s="136">
        <v>23.400000000000002</v>
      </c>
      <c r="BW62" s="137">
        <v>0</v>
      </c>
      <c r="BX62" s="137">
        <v>0</v>
      </c>
      <c r="BY62" s="138">
        <v>0</v>
      </c>
    </row>
    <row r="63" spans="1:77">
      <c r="A63" s="130" t="s">
        <v>424</v>
      </c>
      <c r="B63" s="131" t="s">
        <v>425</v>
      </c>
      <c r="C63" s="132" t="s">
        <v>426</v>
      </c>
      <c r="D63" s="132" t="s">
        <v>143</v>
      </c>
      <c r="E63" s="133">
        <v>7.3611111111111107</v>
      </c>
      <c r="F63" s="133">
        <v>0</v>
      </c>
      <c r="G63" s="134">
        <v>0</v>
      </c>
      <c r="H63" s="134">
        <v>0</v>
      </c>
      <c r="I63" s="134">
        <v>0</v>
      </c>
      <c r="J63" s="134">
        <v>552</v>
      </c>
      <c r="K63" s="134">
        <v>552</v>
      </c>
      <c r="L63" s="134">
        <v>552</v>
      </c>
      <c r="M63" s="134">
        <v>0</v>
      </c>
      <c r="N63" s="134">
        <v>0</v>
      </c>
      <c r="O63" s="132">
        <v>0</v>
      </c>
      <c r="P63" s="132">
        <v>0</v>
      </c>
      <c r="Q63" s="132">
        <v>0</v>
      </c>
      <c r="R63" s="132">
        <v>0</v>
      </c>
      <c r="S63" s="132">
        <v>0</v>
      </c>
      <c r="T63" s="132">
        <v>0</v>
      </c>
      <c r="U63" s="132">
        <v>0</v>
      </c>
      <c r="V63" s="132">
        <v>0</v>
      </c>
      <c r="W63" s="132">
        <v>0</v>
      </c>
      <c r="X63" s="132">
        <v>91.516666666666666</v>
      </c>
      <c r="Y63" s="132">
        <v>155.12777777777777</v>
      </c>
      <c r="Z63" s="132">
        <v>159.94999999999999</v>
      </c>
      <c r="AA63" s="132">
        <v>136.46111111111111</v>
      </c>
      <c r="AB63" s="132">
        <v>0</v>
      </c>
      <c r="AC63" s="132">
        <v>0</v>
      </c>
      <c r="AD63" s="132">
        <v>543.05555555555554</v>
      </c>
      <c r="AE63" s="132">
        <v>0</v>
      </c>
      <c r="AF63" s="132">
        <v>543.05555555555554</v>
      </c>
      <c r="AG63" s="132">
        <v>543.05555555555554</v>
      </c>
      <c r="AH63" s="133">
        <v>8.3111111111111118</v>
      </c>
      <c r="AI63" s="133">
        <v>0</v>
      </c>
      <c r="AJ63" s="133">
        <v>8.3111111111111118</v>
      </c>
      <c r="AK63" s="134">
        <v>0</v>
      </c>
      <c r="AL63" s="139">
        <v>0</v>
      </c>
      <c r="AM63" s="132">
        <v>0</v>
      </c>
      <c r="AN63" s="132">
        <v>0</v>
      </c>
      <c r="AO63" s="132">
        <v>0</v>
      </c>
      <c r="AP63" s="132">
        <v>0</v>
      </c>
      <c r="AQ63" s="132">
        <v>0</v>
      </c>
      <c r="AR63" s="132">
        <v>0</v>
      </c>
      <c r="AS63" s="132">
        <v>0</v>
      </c>
      <c r="AT63" s="132">
        <v>123</v>
      </c>
      <c r="AU63" s="132">
        <v>127</v>
      </c>
      <c r="AV63" s="132">
        <v>141</v>
      </c>
      <c r="AW63" s="132">
        <v>157</v>
      </c>
      <c r="AX63" s="132">
        <v>0</v>
      </c>
      <c r="AY63" s="132">
        <v>0</v>
      </c>
      <c r="AZ63" s="132">
        <v>548</v>
      </c>
      <c r="BA63" s="132">
        <v>0</v>
      </c>
      <c r="BB63" s="132">
        <v>548</v>
      </c>
      <c r="BC63" s="132">
        <v>548</v>
      </c>
      <c r="BD63" s="132">
        <v>0</v>
      </c>
      <c r="BE63" s="132">
        <v>0</v>
      </c>
      <c r="BF63" s="132">
        <v>1</v>
      </c>
      <c r="BG63" s="132">
        <v>98</v>
      </c>
      <c r="BH63" s="132">
        <v>13</v>
      </c>
      <c r="BI63" s="134">
        <v>0</v>
      </c>
      <c r="BJ63" s="134">
        <v>13</v>
      </c>
      <c r="BK63" s="134">
        <v>14</v>
      </c>
      <c r="BL63" s="134">
        <v>0</v>
      </c>
      <c r="BM63" s="134">
        <v>550</v>
      </c>
      <c r="BN63" s="134">
        <v>0</v>
      </c>
      <c r="BO63" s="134">
        <v>0</v>
      </c>
      <c r="BP63" s="134">
        <v>550</v>
      </c>
      <c r="BQ63" s="134">
        <v>550</v>
      </c>
      <c r="BR63" s="135">
        <v>9.1395729759984279E-2</v>
      </c>
      <c r="BS63" s="136">
        <v>31.563000000000002</v>
      </c>
      <c r="BT63" s="136">
        <v>28.963000000000001</v>
      </c>
      <c r="BU63" s="136">
        <v>28.963000000000001</v>
      </c>
      <c r="BV63" s="136">
        <v>31.563000000000006</v>
      </c>
      <c r="BW63" s="137">
        <v>0</v>
      </c>
      <c r="BX63" s="137">
        <v>0</v>
      </c>
      <c r="BY63" s="138">
        <v>0</v>
      </c>
    </row>
    <row r="64" spans="1:77">
      <c r="A64" s="130" t="s">
        <v>427</v>
      </c>
      <c r="B64" s="131" t="s">
        <v>428</v>
      </c>
      <c r="C64" s="132" t="s">
        <v>429</v>
      </c>
      <c r="D64" s="132" t="s">
        <v>143</v>
      </c>
      <c r="E64" s="133">
        <v>56.666666666666664</v>
      </c>
      <c r="F64" s="133">
        <v>0</v>
      </c>
      <c r="G64" s="134">
        <v>56</v>
      </c>
      <c r="H64" s="134">
        <v>306</v>
      </c>
      <c r="I64" s="134">
        <v>0</v>
      </c>
      <c r="J64" s="134">
        <v>0</v>
      </c>
      <c r="K64" s="134">
        <v>362</v>
      </c>
      <c r="L64" s="134">
        <v>306</v>
      </c>
      <c r="M64" s="134">
        <v>362</v>
      </c>
      <c r="N64" s="134">
        <v>0</v>
      </c>
      <c r="O64" s="132">
        <v>55.95</v>
      </c>
      <c r="P64" s="132">
        <v>59.033333333333331</v>
      </c>
      <c r="Q64" s="132">
        <v>58.461111111111109</v>
      </c>
      <c r="R64" s="132">
        <v>54.944444444444443</v>
      </c>
      <c r="S64" s="132">
        <v>57.35</v>
      </c>
      <c r="T64" s="132">
        <v>37.822222222222223</v>
      </c>
      <c r="U64" s="132">
        <v>40.633333333333333</v>
      </c>
      <c r="V64" s="132">
        <v>0</v>
      </c>
      <c r="W64" s="132">
        <v>0</v>
      </c>
      <c r="X64" s="132">
        <v>0</v>
      </c>
      <c r="Y64" s="132">
        <v>0</v>
      </c>
      <c r="Z64" s="132">
        <v>0</v>
      </c>
      <c r="AA64" s="132">
        <v>0</v>
      </c>
      <c r="AB64" s="132">
        <v>308.24444444444441</v>
      </c>
      <c r="AC64" s="132">
        <v>0</v>
      </c>
      <c r="AD64" s="132">
        <v>0</v>
      </c>
      <c r="AE64" s="132">
        <v>364.19444444444446</v>
      </c>
      <c r="AF64" s="132">
        <v>308.24444444444441</v>
      </c>
      <c r="AG64" s="132">
        <v>364.19444444444446</v>
      </c>
      <c r="AH64" s="133">
        <v>53.594444444444441</v>
      </c>
      <c r="AI64" s="133">
        <v>0</v>
      </c>
      <c r="AJ64" s="133">
        <v>53.594444444444441</v>
      </c>
      <c r="AK64" s="134">
        <v>74</v>
      </c>
      <c r="AL64" s="139">
        <v>62</v>
      </c>
      <c r="AM64" s="132">
        <v>63</v>
      </c>
      <c r="AN64" s="132">
        <v>59</v>
      </c>
      <c r="AO64" s="132">
        <v>60</v>
      </c>
      <c r="AP64" s="132">
        <v>58</v>
      </c>
      <c r="AQ64" s="132">
        <v>34</v>
      </c>
      <c r="AR64" s="132">
        <v>0</v>
      </c>
      <c r="AS64" s="132">
        <v>0</v>
      </c>
      <c r="AT64" s="132">
        <v>0</v>
      </c>
      <c r="AU64" s="132">
        <v>0</v>
      </c>
      <c r="AV64" s="132">
        <v>0</v>
      </c>
      <c r="AW64" s="132">
        <v>0</v>
      </c>
      <c r="AX64" s="132">
        <v>336</v>
      </c>
      <c r="AY64" s="132">
        <v>0</v>
      </c>
      <c r="AZ64" s="132">
        <v>0</v>
      </c>
      <c r="BA64" s="132">
        <v>410</v>
      </c>
      <c r="BB64" s="132">
        <v>336</v>
      </c>
      <c r="BC64" s="132">
        <v>410</v>
      </c>
      <c r="BD64" s="132">
        <v>52</v>
      </c>
      <c r="BE64" s="132">
        <v>22</v>
      </c>
      <c r="BF64" s="132">
        <v>0</v>
      </c>
      <c r="BG64" s="132">
        <v>80</v>
      </c>
      <c r="BH64" s="132">
        <v>53</v>
      </c>
      <c r="BI64" s="134">
        <v>0</v>
      </c>
      <c r="BJ64" s="134">
        <v>53</v>
      </c>
      <c r="BK64" s="134">
        <v>26</v>
      </c>
      <c r="BL64" s="134">
        <v>75</v>
      </c>
      <c r="BM64" s="134">
        <v>325</v>
      </c>
      <c r="BN64" s="134">
        <v>325</v>
      </c>
      <c r="BO64" s="134">
        <v>0</v>
      </c>
      <c r="BP64" s="134">
        <v>0</v>
      </c>
      <c r="BQ64" s="134">
        <v>400</v>
      </c>
      <c r="BR64" s="135">
        <v>9.0217391304347805E-2</v>
      </c>
      <c r="BS64" s="136">
        <v>22.864000000000001</v>
      </c>
      <c r="BT64" s="136">
        <v>21.864000000000001</v>
      </c>
      <c r="BU64" s="136">
        <v>20.864000000000001</v>
      </c>
      <c r="BV64" s="136">
        <v>22.864000000000001</v>
      </c>
      <c r="BW64" s="137">
        <v>0</v>
      </c>
      <c r="BX64" s="137">
        <v>0</v>
      </c>
      <c r="BY64" s="138">
        <v>0</v>
      </c>
    </row>
    <row r="65" spans="1:77">
      <c r="A65" s="130" t="s">
        <v>430</v>
      </c>
      <c r="B65" s="131" t="s">
        <v>431</v>
      </c>
      <c r="C65" s="132" t="s">
        <v>432</v>
      </c>
      <c r="D65" s="132" t="s">
        <v>143</v>
      </c>
      <c r="E65" s="133">
        <v>73.422222222222217</v>
      </c>
      <c r="F65" s="133">
        <v>8.2888888888888896</v>
      </c>
      <c r="G65" s="134">
        <v>96</v>
      </c>
      <c r="H65" s="134">
        <v>582</v>
      </c>
      <c r="I65" s="134">
        <v>64</v>
      </c>
      <c r="J65" s="134">
        <v>26</v>
      </c>
      <c r="K65" s="134">
        <v>768</v>
      </c>
      <c r="L65" s="134">
        <v>672</v>
      </c>
      <c r="M65" s="134">
        <v>742</v>
      </c>
      <c r="N65" s="134">
        <v>8</v>
      </c>
      <c r="O65" s="132">
        <v>95.538888888888891</v>
      </c>
      <c r="P65" s="132">
        <v>97.794444444444451</v>
      </c>
      <c r="Q65" s="132">
        <v>102.63888888888889</v>
      </c>
      <c r="R65" s="132">
        <v>99.955555555555549</v>
      </c>
      <c r="S65" s="132">
        <v>102.56666666666666</v>
      </c>
      <c r="T65" s="132">
        <v>81.405555555555551</v>
      </c>
      <c r="U65" s="132">
        <v>91.75</v>
      </c>
      <c r="V65" s="132">
        <v>31.005555555555556</v>
      </c>
      <c r="W65" s="132">
        <v>32.483333333333334</v>
      </c>
      <c r="X65" s="132">
        <v>24.65</v>
      </c>
      <c r="Y65" s="132">
        <v>0</v>
      </c>
      <c r="Z65" s="132">
        <v>0</v>
      </c>
      <c r="AA65" s="132">
        <v>0</v>
      </c>
      <c r="AB65" s="132">
        <v>576.11111111111109</v>
      </c>
      <c r="AC65" s="132">
        <v>63.488888888888894</v>
      </c>
      <c r="AD65" s="132">
        <v>24.65</v>
      </c>
      <c r="AE65" s="132">
        <v>735.13888888888891</v>
      </c>
      <c r="AF65" s="132">
        <v>664.25</v>
      </c>
      <c r="AG65" s="132">
        <v>759.78888888888889</v>
      </c>
      <c r="AH65" s="133">
        <v>76.905555555555551</v>
      </c>
      <c r="AI65" s="133">
        <v>7.4666666666666668</v>
      </c>
      <c r="AJ65" s="133">
        <v>84.37222222222222</v>
      </c>
      <c r="AK65" s="134">
        <v>105</v>
      </c>
      <c r="AL65" s="139">
        <v>109</v>
      </c>
      <c r="AM65" s="132">
        <v>88</v>
      </c>
      <c r="AN65" s="132">
        <v>92</v>
      </c>
      <c r="AO65" s="132">
        <v>106</v>
      </c>
      <c r="AP65" s="132">
        <v>96</v>
      </c>
      <c r="AQ65" s="132">
        <v>82</v>
      </c>
      <c r="AR65" s="132">
        <v>54</v>
      </c>
      <c r="AS65" s="132">
        <v>32</v>
      </c>
      <c r="AT65" s="132">
        <v>24</v>
      </c>
      <c r="AU65" s="132">
        <v>0</v>
      </c>
      <c r="AV65" s="132">
        <v>0</v>
      </c>
      <c r="AW65" s="132">
        <v>0</v>
      </c>
      <c r="AX65" s="132">
        <v>573</v>
      </c>
      <c r="AY65" s="132">
        <v>86</v>
      </c>
      <c r="AZ65" s="132">
        <v>24</v>
      </c>
      <c r="BA65" s="132">
        <v>764</v>
      </c>
      <c r="BB65" s="132">
        <v>683</v>
      </c>
      <c r="BC65" s="132">
        <v>788</v>
      </c>
      <c r="BD65" s="132">
        <v>67</v>
      </c>
      <c r="BE65" s="132">
        <v>38</v>
      </c>
      <c r="BF65" s="132">
        <v>0</v>
      </c>
      <c r="BG65" s="132">
        <v>97</v>
      </c>
      <c r="BH65" s="132">
        <v>87</v>
      </c>
      <c r="BI65" s="134">
        <v>8</v>
      </c>
      <c r="BJ65" s="134">
        <v>95</v>
      </c>
      <c r="BK65" s="134">
        <v>8</v>
      </c>
      <c r="BL65" s="134">
        <v>97</v>
      </c>
      <c r="BM65" s="134">
        <v>653</v>
      </c>
      <c r="BN65" s="134">
        <v>559</v>
      </c>
      <c r="BO65" s="134">
        <v>69</v>
      </c>
      <c r="BP65" s="134">
        <v>25</v>
      </c>
      <c r="BQ65" s="134">
        <v>750</v>
      </c>
      <c r="BR65" s="135">
        <v>6.4017059766430018E-2</v>
      </c>
      <c r="BS65" s="136">
        <v>52.606999999999999</v>
      </c>
      <c r="BT65" s="136">
        <v>52.606999999999999</v>
      </c>
      <c r="BU65" s="136">
        <v>51.856999999999999</v>
      </c>
      <c r="BV65" s="136">
        <v>51.857000000000006</v>
      </c>
      <c r="BW65" s="137">
        <v>0</v>
      </c>
      <c r="BX65" s="137">
        <v>0</v>
      </c>
      <c r="BY65" s="138">
        <v>0</v>
      </c>
    </row>
    <row r="66" spans="1:77">
      <c r="A66" s="130" t="s">
        <v>433</v>
      </c>
      <c r="B66" s="131" t="s">
        <v>434</v>
      </c>
      <c r="C66" s="132" t="s">
        <v>435</v>
      </c>
      <c r="D66" s="132" t="s">
        <v>143</v>
      </c>
      <c r="E66" s="133">
        <v>17.294444444444444</v>
      </c>
      <c r="F66" s="133">
        <v>1.7666666666666666</v>
      </c>
      <c r="G66" s="134">
        <v>50</v>
      </c>
      <c r="H66" s="134">
        <v>236</v>
      </c>
      <c r="I66" s="134">
        <v>0</v>
      </c>
      <c r="J66" s="134">
        <v>0</v>
      </c>
      <c r="K66" s="134">
        <v>286</v>
      </c>
      <c r="L66" s="134">
        <v>236</v>
      </c>
      <c r="M66" s="134">
        <v>286</v>
      </c>
      <c r="N66" s="134">
        <v>1</v>
      </c>
      <c r="O66" s="132">
        <v>48.494444444444447</v>
      </c>
      <c r="P66" s="132">
        <v>44.255555555555553</v>
      </c>
      <c r="Q66" s="132">
        <v>46.355555555555554</v>
      </c>
      <c r="R66" s="132">
        <v>46.261111111111113</v>
      </c>
      <c r="S66" s="132">
        <v>39.31666666666667</v>
      </c>
      <c r="T66" s="132">
        <v>30.488888888888887</v>
      </c>
      <c r="U66" s="132">
        <v>23.43888888888889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230.11666666666667</v>
      </c>
      <c r="AC66" s="132">
        <v>0</v>
      </c>
      <c r="AD66" s="132">
        <v>0</v>
      </c>
      <c r="AE66" s="132">
        <v>278.61111111111109</v>
      </c>
      <c r="AF66" s="132">
        <v>230.11666666666667</v>
      </c>
      <c r="AG66" s="132">
        <v>278.61111111111109</v>
      </c>
      <c r="AH66" s="133">
        <v>21.927777777777777</v>
      </c>
      <c r="AI66" s="133">
        <v>1</v>
      </c>
      <c r="AJ66" s="133">
        <v>22.927777777777777</v>
      </c>
      <c r="AK66" s="134">
        <v>50</v>
      </c>
      <c r="AL66" s="139">
        <v>44</v>
      </c>
      <c r="AM66" s="132">
        <v>43</v>
      </c>
      <c r="AN66" s="132">
        <v>43</v>
      </c>
      <c r="AO66" s="132">
        <v>47</v>
      </c>
      <c r="AP66" s="132">
        <v>36</v>
      </c>
      <c r="AQ66" s="132">
        <v>28</v>
      </c>
      <c r="AR66" s="132">
        <v>0</v>
      </c>
      <c r="AS66" s="132">
        <v>0</v>
      </c>
      <c r="AT66" s="132">
        <v>0</v>
      </c>
      <c r="AU66" s="132">
        <v>0</v>
      </c>
      <c r="AV66" s="132">
        <v>0</v>
      </c>
      <c r="AW66" s="132">
        <v>0</v>
      </c>
      <c r="AX66" s="132">
        <v>241</v>
      </c>
      <c r="AY66" s="132">
        <v>0</v>
      </c>
      <c r="AZ66" s="132">
        <v>0</v>
      </c>
      <c r="BA66" s="132">
        <v>291</v>
      </c>
      <c r="BB66" s="132">
        <v>241</v>
      </c>
      <c r="BC66" s="132">
        <v>291</v>
      </c>
      <c r="BD66" s="132">
        <v>50</v>
      </c>
      <c r="BE66" s="132">
        <v>0</v>
      </c>
      <c r="BF66" s="132">
        <v>0</v>
      </c>
      <c r="BG66" s="132">
        <v>277</v>
      </c>
      <c r="BH66" s="132">
        <v>19</v>
      </c>
      <c r="BI66" s="134">
        <v>1</v>
      </c>
      <c r="BJ66" s="134">
        <v>20</v>
      </c>
      <c r="BK66" s="134">
        <v>192</v>
      </c>
      <c r="BL66" s="134">
        <v>48</v>
      </c>
      <c r="BM66" s="134">
        <v>242</v>
      </c>
      <c r="BN66" s="134">
        <v>242</v>
      </c>
      <c r="BO66" s="134">
        <v>0</v>
      </c>
      <c r="BP66" s="134">
        <v>0</v>
      </c>
      <c r="BQ66" s="134">
        <v>290</v>
      </c>
      <c r="BR66" s="135">
        <v>7.718253968253963E-2</v>
      </c>
      <c r="BS66" s="136">
        <v>19.75</v>
      </c>
      <c r="BT66" s="136">
        <v>17.75</v>
      </c>
      <c r="BU66" s="136">
        <v>16.75</v>
      </c>
      <c r="BV66" s="136">
        <v>19.75</v>
      </c>
      <c r="BW66" s="137">
        <v>0</v>
      </c>
      <c r="BX66" s="137">
        <v>0</v>
      </c>
      <c r="BY66" s="138">
        <v>0</v>
      </c>
    </row>
    <row r="67" spans="1:77">
      <c r="A67" s="130" t="s">
        <v>436</v>
      </c>
      <c r="B67" s="131" t="s">
        <v>437</v>
      </c>
      <c r="C67" s="132" t="s">
        <v>438</v>
      </c>
      <c r="D67" s="132" t="s">
        <v>143</v>
      </c>
      <c r="E67" s="133">
        <v>136.63333333333333</v>
      </c>
      <c r="F67" s="133">
        <v>10.455555555555556</v>
      </c>
      <c r="G67" s="134">
        <v>109</v>
      </c>
      <c r="H67" s="134">
        <v>632</v>
      </c>
      <c r="I67" s="134">
        <v>194</v>
      </c>
      <c r="J67" s="134">
        <v>84</v>
      </c>
      <c r="K67" s="134">
        <v>1019</v>
      </c>
      <c r="L67" s="134">
        <v>910</v>
      </c>
      <c r="M67" s="134">
        <v>935</v>
      </c>
      <c r="N67" s="134">
        <v>10</v>
      </c>
      <c r="O67" s="132">
        <v>107.7</v>
      </c>
      <c r="P67" s="132">
        <v>102.63888888888889</v>
      </c>
      <c r="Q67" s="132">
        <v>103.59444444444445</v>
      </c>
      <c r="R67" s="132">
        <v>105.84444444444445</v>
      </c>
      <c r="S67" s="132">
        <v>103.48333333333333</v>
      </c>
      <c r="T67" s="132">
        <v>108.52777777777777</v>
      </c>
      <c r="U67" s="132">
        <v>101.19444444444444</v>
      </c>
      <c r="V67" s="132">
        <v>99.677777777777777</v>
      </c>
      <c r="W67" s="132">
        <v>91.411111111111111</v>
      </c>
      <c r="X67" s="132">
        <v>82.733333333333334</v>
      </c>
      <c r="Y67" s="132">
        <v>0</v>
      </c>
      <c r="Z67" s="132">
        <v>0</v>
      </c>
      <c r="AA67" s="132">
        <v>0</v>
      </c>
      <c r="AB67" s="132">
        <v>625.28333333333342</v>
      </c>
      <c r="AC67" s="132">
        <v>191.0888888888889</v>
      </c>
      <c r="AD67" s="132">
        <v>82.733333333333334</v>
      </c>
      <c r="AE67" s="132">
        <v>924.07222222222219</v>
      </c>
      <c r="AF67" s="132">
        <v>899.10555555555572</v>
      </c>
      <c r="AG67" s="132">
        <v>1006.8055555555555</v>
      </c>
      <c r="AH67" s="133">
        <v>137.85555555555555</v>
      </c>
      <c r="AI67" s="133">
        <v>9.8333333333333339</v>
      </c>
      <c r="AJ67" s="133">
        <v>147.6888888888889</v>
      </c>
      <c r="AK67" s="134">
        <v>108</v>
      </c>
      <c r="AL67" s="139">
        <v>104</v>
      </c>
      <c r="AM67" s="132">
        <v>106</v>
      </c>
      <c r="AN67" s="132">
        <v>106</v>
      </c>
      <c r="AO67" s="132">
        <v>100</v>
      </c>
      <c r="AP67" s="132">
        <v>106</v>
      </c>
      <c r="AQ67" s="132">
        <v>107</v>
      </c>
      <c r="AR67" s="132">
        <v>96</v>
      </c>
      <c r="AS67" s="132">
        <v>93</v>
      </c>
      <c r="AT67" s="132">
        <v>85</v>
      </c>
      <c r="AU67" s="132">
        <v>0</v>
      </c>
      <c r="AV67" s="132">
        <v>0</v>
      </c>
      <c r="AW67" s="132">
        <v>0</v>
      </c>
      <c r="AX67" s="132">
        <v>629</v>
      </c>
      <c r="AY67" s="132">
        <v>189</v>
      </c>
      <c r="AZ67" s="132">
        <v>85</v>
      </c>
      <c r="BA67" s="132">
        <v>926</v>
      </c>
      <c r="BB67" s="132">
        <v>903</v>
      </c>
      <c r="BC67" s="132">
        <v>1011</v>
      </c>
      <c r="BD67" s="132">
        <v>88</v>
      </c>
      <c r="BE67" s="132">
        <v>20</v>
      </c>
      <c r="BF67" s="132">
        <v>0</v>
      </c>
      <c r="BG67" s="132">
        <v>181</v>
      </c>
      <c r="BH67" s="132">
        <v>141</v>
      </c>
      <c r="BI67" s="134">
        <v>10</v>
      </c>
      <c r="BJ67" s="134">
        <v>151</v>
      </c>
      <c r="BK67" s="134">
        <v>6</v>
      </c>
      <c r="BL67" s="134">
        <v>107</v>
      </c>
      <c r="BM67" s="134">
        <v>893</v>
      </c>
      <c r="BN67" s="134">
        <v>621</v>
      </c>
      <c r="BO67" s="134">
        <v>190</v>
      </c>
      <c r="BP67" s="134">
        <v>82</v>
      </c>
      <c r="BQ67" s="134">
        <v>1000</v>
      </c>
      <c r="BR67" s="135">
        <v>6.4367089373442099E-2</v>
      </c>
      <c r="BS67" s="136">
        <v>47.724999999999994</v>
      </c>
      <c r="BT67" s="136">
        <v>45.724999999999994</v>
      </c>
      <c r="BU67" s="136">
        <v>45.324999999999996</v>
      </c>
      <c r="BV67" s="136">
        <v>49.215000000000003</v>
      </c>
      <c r="BW67" s="137">
        <v>0</v>
      </c>
      <c r="BX67" s="137">
        <v>0</v>
      </c>
      <c r="BY67" s="138">
        <v>0</v>
      </c>
    </row>
    <row r="68" spans="1:77">
      <c r="A68" s="130" t="s">
        <v>439</v>
      </c>
      <c r="B68" s="131" t="s">
        <v>440</v>
      </c>
      <c r="C68" s="132" t="s">
        <v>441</v>
      </c>
      <c r="D68" s="132" t="s">
        <v>143</v>
      </c>
      <c r="E68" s="133">
        <v>74.87222222222222</v>
      </c>
      <c r="F68" s="133">
        <v>7.9722222222222223</v>
      </c>
      <c r="G68" s="134">
        <v>98</v>
      </c>
      <c r="H68" s="134">
        <v>493</v>
      </c>
      <c r="I68" s="134">
        <v>0</v>
      </c>
      <c r="J68" s="134">
        <v>0</v>
      </c>
      <c r="K68" s="134">
        <v>591</v>
      </c>
      <c r="L68" s="134">
        <v>493</v>
      </c>
      <c r="M68" s="134">
        <v>591</v>
      </c>
      <c r="N68" s="134">
        <v>7</v>
      </c>
      <c r="O68" s="132">
        <v>96.027777777777771</v>
      </c>
      <c r="P68" s="132">
        <v>94.88333333333334</v>
      </c>
      <c r="Q68" s="132">
        <v>89.038888888888891</v>
      </c>
      <c r="R68" s="132">
        <v>85.655555555555551</v>
      </c>
      <c r="S68" s="132">
        <v>82.638888888888886</v>
      </c>
      <c r="T68" s="132">
        <v>70.838888888888889</v>
      </c>
      <c r="U68" s="132">
        <v>54.255555555555553</v>
      </c>
      <c r="V68" s="132">
        <v>0</v>
      </c>
      <c r="W68" s="132">
        <v>0</v>
      </c>
      <c r="X68" s="132">
        <v>0</v>
      </c>
      <c r="Y68" s="132">
        <v>0</v>
      </c>
      <c r="Z68" s="132">
        <v>0</v>
      </c>
      <c r="AA68" s="132">
        <v>0</v>
      </c>
      <c r="AB68" s="132">
        <v>477.31111111111113</v>
      </c>
      <c r="AC68" s="132">
        <v>0</v>
      </c>
      <c r="AD68" s="132">
        <v>0</v>
      </c>
      <c r="AE68" s="132">
        <v>573.33888888888885</v>
      </c>
      <c r="AF68" s="132">
        <v>477.31111111111113</v>
      </c>
      <c r="AG68" s="132">
        <v>573.33888888888885</v>
      </c>
      <c r="AH68" s="133">
        <v>72.55</v>
      </c>
      <c r="AI68" s="133">
        <v>6.05</v>
      </c>
      <c r="AJ68" s="133">
        <v>78.599999999999994</v>
      </c>
      <c r="AK68" s="134">
        <v>103</v>
      </c>
      <c r="AL68" s="139">
        <v>91</v>
      </c>
      <c r="AM68" s="132">
        <v>87</v>
      </c>
      <c r="AN68" s="132">
        <v>86</v>
      </c>
      <c r="AO68" s="132">
        <v>70</v>
      </c>
      <c r="AP68" s="132">
        <v>67</v>
      </c>
      <c r="AQ68" s="132">
        <v>67</v>
      </c>
      <c r="AR68" s="132">
        <v>0</v>
      </c>
      <c r="AS68" s="132">
        <v>0</v>
      </c>
      <c r="AT68" s="132">
        <v>0</v>
      </c>
      <c r="AU68" s="132">
        <v>0</v>
      </c>
      <c r="AV68" s="132">
        <v>0</v>
      </c>
      <c r="AW68" s="132">
        <v>0</v>
      </c>
      <c r="AX68" s="132">
        <v>468</v>
      </c>
      <c r="AY68" s="132">
        <v>0</v>
      </c>
      <c r="AZ68" s="132">
        <v>0</v>
      </c>
      <c r="BA68" s="132">
        <v>571</v>
      </c>
      <c r="BB68" s="132">
        <v>468</v>
      </c>
      <c r="BC68" s="132">
        <v>571</v>
      </c>
      <c r="BD68" s="132">
        <v>80</v>
      </c>
      <c r="BE68" s="132">
        <v>23</v>
      </c>
      <c r="BF68" s="132">
        <v>0</v>
      </c>
      <c r="BG68" s="132">
        <v>103</v>
      </c>
      <c r="BH68" s="132">
        <v>79</v>
      </c>
      <c r="BI68" s="134">
        <v>2</v>
      </c>
      <c r="BJ68" s="134">
        <v>81</v>
      </c>
      <c r="BK68" s="134">
        <v>0</v>
      </c>
      <c r="BL68" s="134">
        <v>95</v>
      </c>
      <c r="BM68" s="134">
        <v>475</v>
      </c>
      <c r="BN68" s="134">
        <v>475</v>
      </c>
      <c r="BO68" s="134">
        <v>0</v>
      </c>
      <c r="BP68" s="134">
        <v>0</v>
      </c>
      <c r="BQ68" s="134">
        <v>570</v>
      </c>
      <c r="BR68" s="135">
        <v>5.8703071672355056E-2</v>
      </c>
      <c r="BS68" s="136">
        <v>30.577000000000002</v>
      </c>
      <c r="BT68" s="136">
        <v>27.852</v>
      </c>
      <c r="BU68" s="136">
        <v>27.852</v>
      </c>
      <c r="BV68" s="136">
        <v>30.577000000000002</v>
      </c>
      <c r="BW68" s="137">
        <v>0</v>
      </c>
      <c r="BX68" s="137">
        <v>0</v>
      </c>
      <c r="BY68" s="138">
        <v>0</v>
      </c>
    </row>
    <row r="69" spans="1:77">
      <c r="A69" s="130" t="s">
        <v>442</v>
      </c>
      <c r="B69" s="131" t="s">
        <v>443</v>
      </c>
      <c r="C69" s="132" t="s">
        <v>444</v>
      </c>
      <c r="D69" s="132" t="s">
        <v>143</v>
      </c>
      <c r="E69" s="133">
        <v>8.7888888888888896</v>
      </c>
      <c r="F69" s="133">
        <v>1.4</v>
      </c>
      <c r="G69" s="134">
        <v>0</v>
      </c>
      <c r="H69" s="134">
        <v>12</v>
      </c>
      <c r="I69" s="134">
        <v>46</v>
      </c>
      <c r="J69" s="134">
        <v>178</v>
      </c>
      <c r="K69" s="134">
        <v>236</v>
      </c>
      <c r="L69" s="134">
        <v>236</v>
      </c>
      <c r="M69" s="134">
        <v>58</v>
      </c>
      <c r="N69" s="134">
        <v>1</v>
      </c>
      <c r="O69" s="132">
        <v>0</v>
      </c>
      <c r="P69" s="132">
        <v>0</v>
      </c>
      <c r="Q69" s="132">
        <v>0</v>
      </c>
      <c r="R69" s="132">
        <v>0</v>
      </c>
      <c r="S69" s="132">
        <v>0</v>
      </c>
      <c r="T69" s="132">
        <v>0</v>
      </c>
      <c r="U69" s="132">
        <v>13.744444444444444</v>
      </c>
      <c r="V69" s="132">
        <v>26.677777777777777</v>
      </c>
      <c r="W69" s="132">
        <v>30.661111111111111</v>
      </c>
      <c r="X69" s="132">
        <v>50.405555555555559</v>
      </c>
      <c r="Y69" s="132">
        <v>43.411111111111111</v>
      </c>
      <c r="Z69" s="132">
        <v>32.56666666666667</v>
      </c>
      <c r="AA69" s="132">
        <v>54.755555555555553</v>
      </c>
      <c r="AB69" s="132">
        <v>13.744444444444444</v>
      </c>
      <c r="AC69" s="132">
        <v>57.338888888888889</v>
      </c>
      <c r="AD69" s="132">
        <v>181.13888888888889</v>
      </c>
      <c r="AE69" s="132">
        <v>71.083333333333329</v>
      </c>
      <c r="AF69" s="132">
        <v>252.2222222222222</v>
      </c>
      <c r="AG69" s="132">
        <v>252.2222222222222</v>
      </c>
      <c r="AH69" s="133">
        <v>8.4222222222222225</v>
      </c>
      <c r="AI69" s="133">
        <v>1</v>
      </c>
      <c r="AJ69" s="133">
        <v>9.4222222222222225</v>
      </c>
      <c r="AK69" s="134">
        <v>0</v>
      </c>
      <c r="AL69" s="139">
        <v>0</v>
      </c>
      <c r="AM69" s="132">
        <v>0</v>
      </c>
      <c r="AN69" s="132">
        <v>0</v>
      </c>
      <c r="AO69" s="132">
        <v>0</v>
      </c>
      <c r="AP69" s="132">
        <v>0</v>
      </c>
      <c r="AQ69" s="132">
        <v>17</v>
      </c>
      <c r="AR69" s="132">
        <v>19</v>
      </c>
      <c r="AS69" s="132">
        <v>29</v>
      </c>
      <c r="AT69" s="132">
        <v>41</v>
      </c>
      <c r="AU69" s="132">
        <v>46</v>
      </c>
      <c r="AV69" s="132">
        <v>41</v>
      </c>
      <c r="AW69" s="132">
        <v>31</v>
      </c>
      <c r="AX69" s="132">
        <v>17</v>
      </c>
      <c r="AY69" s="132">
        <v>48</v>
      </c>
      <c r="AZ69" s="132">
        <v>159</v>
      </c>
      <c r="BA69" s="132">
        <v>65</v>
      </c>
      <c r="BB69" s="132">
        <v>224</v>
      </c>
      <c r="BC69" s="132">
        <v>224</v>
      </c>
      <c r="BD69" s="132">
        <v>0</v>
      </c>
      <c r="BE69" s="132">
        <v>0</v>
      </c>
      <c r="BF69" s="132">
        <v>0</v>
      </c>
      <c r="BG69" s="132">
        <v>215</v>
      </c>
      <c r="BH69" s="132">
        <v>7</v>
      </c>
      <c r="BI69" s="134">
        <v>1</v>
      </c>
      <c r="BJ69" s="134">
        <v>8</v>
      </c>
      <c r="BK69" s="134">
        <v>209</v>
      </c>
      <c r="BL69" s="134">
        <v>0</v>
      </c>
      <c r="BM69" s="134">
        <v>215</v>
      </c>
      <c r="BN69" s="134">
        <v>11</v>
      </c>
      <c r="BO69" s="134">
        <v>42</v>
      </c>
      <c r="BP69" s="134">
        <v>162</v>
      </c>
      <c r="BQ69" s="134">
        <v>215</v>
      </c>
      <c r="BR69" s="135">
        <v>8.5713208685162856E-2</v>
      </c>
      <c r="BS69" s="136">
        <v>16</v>
      </c>
      <c r="BT69" s="136">
        <v>16</v>
      </c>
      <c r="BU69" s="136">
        <v>16</v>
      </c>
      <c r="BV69" s="136">
        <v>19</v>
      </c>
      <c r="BW69" s="137">
        <v>0</v>
      </c>
      <c r="BX69" s="137">
        <v>0</v>
      </c>
      <c r="BY69" s="138">
        <v>0</v>
      </c>
    </row>
    <row r="70" spans="1:77">
      <c r="A70" s="130" t="s">
        <v>445</v>
      </c>
      <c r="B70" s="131" t="s">
        <v>446</v>
      </c>
      <c r="C70" s="132" t="s">
        <v>447</v>
      </c>
      <c r="D70" s="132" t="s">
        <v>143</v>
      </c>
      <c r="E70" s="133">
        <v>22.427777777777777</v>
      </c>
      <c r="F70" s="133">
        <v>0</v>
      </c>
      <c r="G70" s="134">
        <v>0</v>
      </c>
      <c r="H70" s="134">
        <v>0</v>
      </c>
      <c r="I70" s="134">
        <v>223</v>
      </c>
      <c r="J70" s="134">
        <v>315</v>
      </c>
      <c r="K70" s="134">
        <v>538</v>
      </c>
      <c r="L70" s="134">
        <v>538</v>
      </c>
      <c r="M70" s="134">
        <v>223</v>
      </c>
      <c r="N70" s="134">
        <v>1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2">
        <v>114</v>
      </c>
      <c r="W70" s="132">
        <v>108</v>
      </c>
      <c r="X70" s="132">
        <v>93.777777777777771</v>
      </c>
      <c r="Y70" s="132">
        <v>81.338888888888889</v>
      </c>
      <c r="Z70" s="132">
        <v>75.183333333333337</v>
      </c>
      <c r="AA70" s="132">
        <v>62</v>
      </c>
      <c r="AB70" s="132">
        <v>0</v>
      </c>
      <c r="AC70" s="132">
        <v>222</v>
      </c>
      <c r="AD70" s="132">
        <v>312.3</v>
      </c>
      <c r="AE70" s="132">
        <v>222</v>
      </c>
      <c r="AF70" s="132">
        <v>534.29999999999995</v>
      </c>
      <c r="AG70" s="132">
        <v>534.29999999999995</v>
      </c>
      <c r="AH70" s="133">
        <v>22.944444444444443</v>
      </c>
      <c r="AI70" s="133">
        <v>1</v>
      </c>
      <c r="AJ70" s="133">
        <v>23.944444444444443</v>
      </c>
      <c r="AK70" s="134">
        <v>0</v>
      </c>
      <c r="AL70" s="139">
        <v>0</v>
      </c>
      <c r="AM70" s="132">
        <v>0</v>
      </c>
      <c r="AN70" s="132">
        <v>0</v>
      </c>
      <c r="AO70" s="132">
        <v>0</v>
      </c>
      <c r="AP70" s="132">
        <v>0</v>
      </c>
      <c r="AQ70" s="132">
        <v>0</v>
      </c>
      <c r="AR70" s="132">
        <v>108</v>
      </c>
      <c r="AS70" s="132">
        <v>115</v>
      </c>
      <c r="AT70" s="132">
        <v>108</v>
      </c>
      <c r="AU70" s="132">
        <v>92</v>
      </c>
      <c r="AV70" s="132">
        <v>81</v>
      </c>
      <c r="AW70" s="132">
        <v>64</v>
      </c>
      <c r="AX70" s="132">
        <v>0</v>
      </c>
      <c r="AY70" s="132">
        <v>223</v>
      </c>
      <c r="AZ70" s="132">
        <v>345</v>
      </c>
      <c r="BA70" s="132">
        <v>223</v>
      </c>
      <c r="BB70" s="132">
        <v>568</v>
      </c>
      <c r="BC70" s="132">
        <v>568</v>
      </c>
      <c r="BD70" s="132">
        <v>0</v>
      </c>
      <c r="BE70" s="132">
        <v>0</v>
      </c>
      <c r="BF70" s="132">
        <v>0</v>
      </c>
      <c r="BG70" s="132">
        <v>295</v>
      </c>
      <c r="BH70" s="132">
        <v>22</v>
      </c>
      <c r="BI70" s="134">
        <v>2</v>
      </c>
      <c r="BJ70" s="134">
        <v>24</v>
      </c>
      <c r="BK70" s="134">
        <v>0</v>
      </c>
      <c r="BL70" s="134">
        <v>0</v>
      </c>
      <c r="BM70" s="134">
        <v>560</v>
      </c>
      <c r="BN70" s="134">
        <v>0</v>
      </c>
      <c r="BO70" s="134">
        <v>220</v>
      </c>
      <c r="BP70" s="134">
        <v>340</v>
      </c>
      <c r="BQ70" s="134">
        <v>560</v>
      </c>
      <c r="BR70" s="135">
        <v>7.0969259723965006E-2</v>
      </c>
      <c r="BS70" s="136">
        <v>33.862000000000002</v>
      </c>
      <c r="BT70" s="136">
        <v>33.862000000000002</v>
      </c>
      <c r="BU70" s="136">
        <v>33.862000000000002</v>
      </c>
      <c r="BV70" s="136">
        <v>34.861999999999988</v>
      </c>
      <c r="BW70" s="137">
        <v>0</v>
      </c>
      <c r="BX70" s="137">
        <v>0</v>
      </c>
      <c r="BY70" s="138">
        <v>0</v>
      </c>
    </row>
    <row r="71" spans="1:77">
      <c r="A71" s="130" t="s">
        <v>448</v>
      </c>
      <c r="B71" s="131" t="s">
        <v>449</v>
      </c>
      <c r="C71" s="132" t="s">
        <v>450</v>
      </c>
      <c r="D71" s="132" t="s">
        <v>143</v>
      </c>
      <c r="E71" s="133">
        <v>75.761111111111106</v>
      </c>
      <c r="F71" s="133">
        <v>0.48888888888888887</v>
      </c>
      <c r="G71" s="134">
        <v>80</v>
      </c>
      <c r="H71" s="134">
        <v>333</v>
      </c>
      <c r="I71" s="134">
        <v>37</v>
      </c>
      <c r="J71" s="134">
        <v>12</v>
      </c>
      <c r="K71" s="134">
        <v>462</v>
      </c>
      <c r="L71" s="134">
        <v>382</v>
      </c>
      <c r="M71" s="134">
        <v>450</v>
      </c>
      <c r="N71" s="134">
        <v>0</v>
      </c>
      <c r="O71" s="132">
        <v>75.044444444444451</v>
      </c>
      <c r="P71" s="132">
        <v>67.349999999999994</v>
      </c>
      <c r="Q71" s="132">
        <v>60.56666666666667</v>
      </c>
      <c r="R71" s="132">
        <v>55.81111111111111</v>
      </c>
      <c r="S71" s="132">
        <v>52.905555555555559</v>
      </c>
      <c r="T71" s="132">
        <v>41.255555555555553</v>
      </c>
      <c r="U71" s="132">
        <v>52.56111111111111</v>
      </c>
      <c r="V71" s="132">
        <v>22.711111111111112</v>
      </c>
      <c r="W71" s="132">
        <v>14.122222222222222</v>
      </c>
      <c r="X71" s="132">
        <v>10.45</v>
      </c>
      <c r="Y71" s="132">
        <v>0</v>
      </c>
      <c r="Z71" s="132">
        <v>0</v>
      </c>
      <c r="AA71" s="132">
        <v>0</v>
      </c>
      <c r="AB71" s="132">
        <v>330.45</v>
      </c>
      <c r="AC71" s="132">
        <v>36.833333333333336</v>
      </c>
      <c r="AD71" s="132">
        <v>10.45</v>
      </c>
      <c r="AE71" s="132">
        <v>442.32777777777778</v>
      </c>
      <c r="AF71" s="132">
        <v>377.73333333333329</v>
      </c>
      <c r="AG71" s="132">
        <v>452.77777777777777</v>
      </c>
      <c r="AH71" s="133">
        <v>72.227777777777774</v>
      </c>
      <c r="AI71" s="133">
        <v>1.5722222222222222</v>
      </c>
      <c r="AJ71" s="133">
        <v>73.8</v>
      </c>
      <c r="AK71" s="134">
        <v>94</v>
      </c>
      <c r="AL71" s="139">
        <v>70</v>
      </c>
      <c r="AM71" s="132">
        <v>57</v>
      </c>
      <c r="AN71" s="132">
        <v>67</v>
      </c>
      <c r="AO71" s="132">
        <v>57</v>
      </c>
      <c r="AP71" s="132">
        <v>54</v>
      </c>
      <c r="AQ71" s="132">
        <v>42</v>
      </c>
      <c r="AR71" s="132">
        <v>33</v>
      </c>
      <c r="AS71" s="132">
        <v>14</v>
      </c>
      <c r="AT71" s="132">
        <v>6</v>
      </c>
      <c r="AU71" s="132">
        <v>0</v>
      </c>
      <c r="AV71" s="132">
        <v>0</v>
      </c>
      <c r="AW71" s="132">
        <v>0</v>
      </c>
      <c r="AX71" s="132">
        <v>347</v>
      </c>
      <c r="AY71" s="132">
        <v>47</v>
      </c>
      <c r="AZ71" s="132">
        <v>6</v>
      </c>
      <c r="BA71" s="132">
        <v>488</v>
      </c>
      <c r="BB71" s="132">
        <v>400</v>
      </c>
      <c r="BC71" s="132">
        <v>494</v>
      </c>
      <c r="BD71" s="132">
        <v>86</v>
      </c>
      <c r="BE71" s="132">
        <v>8</v>
      </c>
      <c r="BF71" s="132">
        <v>0</v>
      </c>
      <c r="BG71" s="132">
        <v>143</v>
      </c>
      <c r="BH71" s="132">
        <v>68</v>
      </c>
      <c r="BI71" s="134">
        <v>1</v>
      </c>
      <c r="BJ71" s="134">
        <v>69</v>
      </c>
      <c r="BK71" s="134">
        <v>107</v>
      </c>
      <c r="BL71" s="134">
        <v>98</v>
      </c>
      <c r="BM71" s="134">
        <v>402</v>
      </c>
      <c r="BN71" s="134">
        <v>329</v>
      </c>
      <c r="BO71" s="134">
        <v>62</v>
      </c>
      <c r="BP71" s="134">
        <v>11</v>
      </c>
      <c r="BQ71" s="134">
        <v>500</v>
      </c>
      <c r="BR71" s="135">
        <v>6.4306358381502893E-2</v>
      </c>
      <c r="BS71" s="136">
        <v>30.916</v>
      </c>
      <c r="BT71" s="136">
        <v>28.916</v>
      </c>
      <c r="BU71" s="136">
        <v>27.916</v>
      </c>
      <c r="BV71" s="136">
        <v>35.915999999999997</v>
      </c>
      <c r="BW71" s="137">
        <v>0</v>
      </c>
      <c r="BX71" s="137">
        <v>0</v>
      </c>
      <c r="BY71" s="138">
        <v>0</v>
      </c>
    </row>
    <row r="72" spans="1:77">
      <c r="A72" s="130" t="s">
        <v>451</v>
      </c>
      <c r="B72" s="131" t="s">
        <v>452</v>
      </c>
      <c r="C72" s="132" t="s">
        <v>453</v>
      </c>
      <c r="D72" s="132" t="s">
        <v>143</v>
      </c>
      <c r="E72" s="133">
        <v>46.35</v>
      </c>
      <c r="F72" s="133">
        <v>0.74444444444444446</v>
      </c>
      <c r="G72" s="134">
        <v>63</v>
      </c>
      <c r="H72" s="134">
        <v>269</v>
      </c>
      <c r="I72" s="134">
        <v>0</v>
      </c>
      <c r="J72" s="134">
        <v>0</v>
      </c>
      <c r="K72" s="134">
        <v>332</v>
      </c>
      <c r="L72" s="134">
        <v>269</v>
      </c>
      <c r="M72" s="134">
        <v>332</v>
      </c>
      <c r="N72" s="134">
        <v>1</v>
      </c>
      <c r="O72" s="132">
        <v>61.55</v>
      </c>
      <c r="P72" s="132">
        <v>55.43333333333333</v>
      </c>
      <c r="Q72" s="132">
        <v>43.255555555555553</v>
      </c>
      <c r="R72" s="132">
        <v>48.638888888888886</v>
      </c>
      <c r="S72" s="132">
        <v>48.861111111111114</v>
      </c>
      <c r="T72" s="132">
        <v>32.883333333333333</v>
      </c>
      <c r="U72" s="132">
        <v>30.35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259.42222222222222</v>
      </c>
      <c r="AC72" s="132">
        <v>0</v>
      </c>
      <c r="AD72" s="132">
        <v>0</v>
      </c>
      <c r="AE72" s="132">
        <v>320.97222222222223</v>
      </c>
      <c r="AF72" s="132">
        <v>259.42222222222222</v>
      </c>
      <c r="AG72" s="132">
        <v>320.97222222222223</v>
      </c>
      <c r="AH72" s="133">
        <v>46.272222222222226</v>
      </c>
      <c r="AI72" s="133">
        <v>1</v>
      </c>
      <c r="AJ72" s="133">
        <v>47.272222222222226</v>
      </c>
      <c r="AK72" s="134">
        <v>51</v>
      </c>
      <c r="AL72" s="139">
        <v>51</v>
      </c>
      <c r="AM72" s="132">
        <v>52</v>
      </c>
      <c r="AN72" s="132">
        <v>48</v>
      </c>
      <c r="AO72" s="132">
        <v>43</v>
      </c>
      <c r="AP72" s="132">
        <v>51</v>
      </c>
      <c r="AQ72" s="132">
        <v>27</v>
      </c>
      <c r="AR72" s="132">
        <v>0</v>
      </c>
      <c r="AS72" s="132">
        <v>0</v>
      </c>
      <c r="AT72" s="132">
        <v>0</v>
      </c>
      <c r="AU72" s="132">
        <v>0</v>
      </c>
      <c r="AV72" s="132">
        <v>0</v>
      </c>
      <c r="AW72" s="132">
        <v>0</v>
      </c>
      <c r="AX72" s="132">
        <v>272</v>
      </c>
      <c r="AY72" s="132">
        <v>0</v>
      </c>
      <c r="AZ72" s="132">
        <v>0</v>
      </c>
      <c r="BA72" s="132">
        <v>323</v>
      </c>
      <c r="BB72" s="132">
        <v>272</v>
      </c>
      <c r="BC72" s="132">
        <v>323</v>
      </c>
      <c r="BD72" s="132">
        <v>47</v>
      </c>
      <c r="BE72" s="132">
        <v>4</v>
      </c>
      <c r="BF72" s="132">
        <v>0</v>
      </c>
      <c r="BG72" s="132">
        <v>66</v>
      </c>
      <c r="BH72" s="132">
        <v>46</v>
      </c>
      <c r="BI72" s="134">
        <v>0</v>
      </c>
      <c r="BJ72" s="134">
        <v>46</v>
      </c>
      <c r="BK72" s="134">
        <v>62</v>
      </c>
      <c r="BL72" s="134">
        <v>61</v>
      </c>
      <c r="BM72" s="134">
        <v>262</v>
      </c>
      <c r="BN72" s="134">
        <v>262</v>
      </c>
      <c r="BO72" s="134">
        <v>0</v>
      </c>
      <c r="BP72" s="134">
        <v>0</v>
      </c>
      <c r="BQ72" s="134">
        <v>323</v>
      </c>
      <c r="BR72" s="135">
        <v>4.7770700636942609E-2</v>
      </c>
      <c r="BS72" s="136">
        <v>19</v>
      </c>
      <c r="BT72" s="136">
        <v>18</v>
      </c>
      <c r="BU72" s="136">
        <v>18</v>
      </c>
      <c r="BV72" s="136">
        <v>19</v>
      </c>
      <c r="BW72" s="137">
        <v>0</v>
      </c>
      <c r="BX72" s="137">
        <v>0</v>
      </c>
      <c r="BY72" s="138">
        <v>0</v>
      </c>
    </row>
    <row r="73" spans="1:77">
      <c r="A73" s="130" t="s">
        <v>454</v>
      </c>
      <c r="B73" s="131" t="s">
        <v>455</v>
      </c>
      <c r="C73" s="132" t="s">
        <v>456</v>
      </c>
      <c r="D73" s="132" t="s">
        <v>143</v>
      </c>
      <c r="E73" s="133">
        <v>90.772222222222226</v>
      </c>
      <c r="F73" s="133">
        <v>7.3888888888888893</v>
      </c>
      <c r="G73" s="134">
        <v>75</v>
      </c>
      <c r="H73" s="134">
        <v>501</v>
      </c>
      <c r="I73" s="134">
        <v>233</v>
      </c>
      <c r="J73" s="134">
        <v>106</v>
      </c>
      <c r="K73" s="134">
        <v>915</v>
      </c>
      <c r="L73" s="134">
        <v>840</v>
      </c>
      <c r="M73" s="134">
        <v>809</v>
      </c>
      <c r="N73" s="134">
        <v>6</v>
      </c>
      <c r="O73" s="132">
        <v>74.838888888888889</v>
      </c>
      <c r="P73" s="132">
        <v>74.238888888888894</v>
      </c>
      <c r="Q73" s="132">
        <v>74.527777777777771</v>
      </c>
      <c r="R73" s="132">
        <v>81.016666666666666</v>
      </c>
      <c r="S73" s="132">
        <v>80.00555555555556</v>
      </c>
      <c r="T73" s="132">
        <v>77.961111111111109</v>
      </c>
      <c r="U73" s="132">
        <v>105.5</v>
      </c>
      <c r="V73" s="132">
        <v>112.27222222222223</v>
      </c>
      <c r="W73" s="132">
        <v>116.93888888888888</v>
      </c>
      <c r="X73" s="132">
        <v>104.36666666666666</v>
      </c>
      <c r="Y73" s="132">
        <v>0</v>
      </c>
      <c r="Z73" s="132">
        <v>0</v>
      </c>
      <c r="AA73" s="132">
        <v>0</v>
      </c>
      <c r="AB73" s="132">
        <v>493.25</v>
      </c>
      <c r="AC73" s="132">
        <v>229.21111111111111</v>
      </c>
      <c r="AD73" s="132">
        <v>104.36666666666666</v>
      </c>
      <c r="AE73" s="132">
        <v>797.3</v>
      </c>
      <c r="AF73" s="132">
        <v>826.82777777777778</v>
      </c>
      <c r="AG73" s="132">
        <v>901.66666666666663</v>
      </c>
      <c r="AH73" s="133">
        <v>92.477777777777774</v>
      </c>
      <c r="AI73" s="133">
        <v>7.1888888888888891</v>
      </c>
      <c r="AJ73" s="133">
        <v>99.666666666666657</v>
      </c>
      <c r="AK73" s="134">
        <v>74</v>
      </c>
      <c r="AL73" s="139">
        <v>75</v>
      </c>
      <c r="AM73" s="132">
        <v>75</v>
      </c>
      <c r="AN73" s="132">
        <v>79</v>
      </c>
      <c r="AO73" s="132">
        <v>81</v>
      </c>
      <c r="AP73" s="132">
        <v>82</v>
      </c>
      <c r="AQ73" s="132">
        <v>109</v>
      </c>
      <c r="AR73" s="132">
        <v>119</v>
      </c>
      <c r="AS73" s="132">
        <v>117</v>
      </c>
      <c r="AT73" s="132">
        <v>100</v>
      </c>
      <c r="AU73" s="132">
        <v>0</v>
      </c>
      <c r="AV73" s="132">
        <v>0</v>
      </c>
      <c r="AW73" s="132">
        <v>0</v>
      </c>
      <c r="AX73" s="132">
        <v>501</v>
      </c>
      <c r="AY73" s="132">
        <v>236</v>
      </c>
      <c r="AZ73" s="132">
        <v>100</v>
      </c>
      <c r="BA73" s="132">
        <v>811</v>
      </c>
      <c r="BB73" s="132">
        <v>837</v>
      </c>
      <c r="BC73" s="132">
        <v>911</v>
      </c>
      <c r="BD73" s="132">
        <v>0</v>
      </c>
      <c r="BE73" s="132">
        <v>74</v>
      </c>
      <c r="BF73" s="132">
        <v>0</v>
      </c>
      <c r="BG73" s="132">
        <v>194</v>
      </c>
      <c r="BH73" s="132">
        <v>99</v>
      </c>
      <c r="BI73" s="134">
        <v>12</v>
      </c>
      <c r="BJ73" s="134">
        <v>111</v>
      </c>
      <c r="BK73" s="134">
        <v>1</v>
      </c>
      <c r="BL73" s="134">
        <v>75</v>
      </c>
      <c r="BM73" s="134">
        <v>835</v>
      </c>
      <c r="BN73" s="134">
        <v>498</v>
      </c>
      <c r="BO73" s="134">
        <v>237</v>
      </c>
      <c r="BP73" s="134">
        <v>100</v>
      </c>
      <c r="BQ73" s="134">
        <v>910</v>
      </c>
      <c r="BR73" s="135">
        <v>7.8589257428118953E-2</v>
      </c>
      <c r="BS73" s="136">
        <v>49.26</v>
      </c>
      <c r="BT73" s="136">
        <v>46.260000000000005</v>
      </c>
      <c r="BU73" s="136">
        <v>43.388000000000005</v>
      </c>
      <c r="BV73" s="136">
        <v>47.704000000000001</v>
      </c>
      <c r="BW73" s="137">
        <v>0</v>
      </c>
      <c r="BX73" s="137">
        <v>0</v>
      </c>
      <c r="BY73" s="138">
        <v>0</v>
      </c>
    </row>
    <row r="74" spans="1:77">
      <c r="A74" s="130" t="s">
        <v>457</v>
      </c>
      <c r="B74" s="131" t="s">
        <v>458</v>
      </c>
      <c r="C74" s="132" t="s">
        <v>459</v>
      </c>
      <c r="D74" s="132" t="s">
        <v>143</v>
      </c>
      <c r="E74" s="133">
        <v>17.027777777777779</v>
      </c>
      <c r="F74" s="133">
        <v>0</v>
      </c>
      <c r="G74" s="134">
        <v>0</v>
      </c>
      <c r="H74" s="134">
        <v>0</v>
      </c>
      <c r="I74" s="134">
        <v>63</v>
      </c>
      <c r="J74" s="134">
        <v>155</v>
      </c>
      <c r="K74" s="134">
        <v>218</v>
      </c>
      <c r="L74" s="134">
        <v>218</v>
      </c>
      <c r="M74" s="134">
        <v>63</v>
      </c>
      <c r="N74" s="134">
        <v>0</v>
      </c>
      <c r="O74" s="132">
        <v>0</v>
      </c>
      <c r="P74" s="132">
        <v>0</v>
      </c>
      <c r="Q74" s="132">
        <v>0</v>
      </c>
      <c r="R74" s="132">
        <v>0</v>
      </c>
      <c r="S74" s="132">
        <v>0</v>
      </c>
      <c r="T74" s="132">
        <v>0</v>
      </c>
      <c r="U74" s="132">
        <v>0</v>
      </c>
      <c r="V74" s="132">
        <v>30.488888888888887</v>
      </c>
      <c r="W74" s="132">
        <v>32</v>
      </c>
      <c r="X74" s="132">
        <v>50.605555555555554</v>
      </c>
      <c r="Y74" s="132">
        <v>32.666666666666664</v>
      </c>
      <c r="Z74" s="132">
        <v>32</v>
      </c>
      <c r="AA74" s="132">
        <v>34.344444444444441</v>
      </c>
      <c r="AB74" s="132">
        <v>0</v>
      </c>
      <c r="AC74" s="132">
        <v>62.488888888888887</v>
      </c>
      <c r="AD74" s="132">
        <v>149.61666666666665</v>
      </c>
      <c r="AE74" s="132">
        <v>62.488888888888887</v>
      </c>
      <c r="AF74" s="132">
        <v>212.10555555555553</v>
      </c>
      <c r="AG74" s="132">
        <v>212.10555555555553</v>
      </c>
      <c r="AH74" s="133">
        <v>20.31111111111111</v>
      </c>
      <c r="AI74" s="133">
        <v>0</v>
      </c>
      <c r="AJ74" s="133">
        <v>20.31111111111111</v>
      </c>
      <c r="AK74" s="134">
        <v>0</v>
      </c>
      <c r="AL74" s="139">
        <v>0</v>
      </c>
      <c r="AM74" s="132">
        <v>0</v>
      </c>
      <c r="AN74" s="132">
        <v>0</v>
      </c>
      <c r="AO74" s="132">
        <v>0</v>
      </c>
      <c r="AP74" s="132">
        <v>0</v>
      </c>
      <c r="AQ74" s="132">
        <v>0</v>
      </c>
      <c r="AR74" s="132">
        <v>28</v>
      </c>
      <c r="AS74" s="132">
        <v>29</v>
      </c>
      <c r="AT74" s="132">
        <v>43</v>
      </c>
      <c r="AU74" s="132">
        <v>38</v>
      </c>
      <c r="AV74" s="132">
        <v>30</v>
      </c>
      <c r="AW74" s="132">
        <v>31</v>
      </c>
      <c r="AX74" s="132">
        <v>0</v>
      </c>
      <c r="AY74" s="132">
        <v>57</v>
      </c>
      <c r="AZ74" s="132">
        <v>142</v>
      </c>
      <c r="BA74" s="132">
        <v>57</v>
      </c>
      <c r="BB74" s="132">
        <v>199</v>
      </c>
      <c r="BC74" s="132">
        <v>199</v>
      </c>
      <c r="BD74" s="132">
        <v>0</v>
      </c>
      <c r="BE74" s="132">
        <v>0</v>
      </c>
      <c r="BF74" s="132">
        <v>0</v>
      </c>
      <c r="BG74" s="132">
        <v>57</v>
      </c>
      <c r="BH74" s="132">
        <v>25</v>
      </c>
      <c r="BI74" s="134">
        <v>0</v>
      </c>
      <c r="BJ74" s="134">
        <v>25</v>
      </c>
      <c r="BK74" s="134">
        <v>4</v>
      </c>
      <c r="BL74" s="134">
        <v>0</v>
      </c>
      <c r="BM74" s="134">
        <v>200</v>
      </c>
      <c r="BN74" s="134">
        <v>0</v>
      </c>
      <c r="BO74" s="134">
        <v>47</v>
      </c>
      <c r="BP74" s="134">
        <v>153</v>
      </c>
      <c r="BQ74" s="134">
        <v>200</v>
      </c>
      <c r="BR74" s="135">
        <v>9.2910702113156107E-2</v>
      </c>
      <c r="BS74" s="136">
        <v>13.45</v>
      </c>
      <c r="BT74" s="136">
        <v>11.94</v>
      </c>
      <c r="BU74" s="136">
        <v>11.94</v>
      </c>
      <c r="BV74" s="136">
        <v>13.45</v>
      </c>
      <c r="BW74" s="137">
        <v>0</v>
      </c>
      <c r="BX74" s="137">
        <v>0</v>
      </c>
      <c r="BY74" s="138">
        <v>0</v>
      </c>
    </row>
    <row r="75" spans="1:77">
      <c r="A75" s="130" t="s">
        <v>460</v>
      </c>
      <c r="B75" s="131" t="s">
        <v>461</v>
      </c>
      <c r="C75" s="132" t="s">
        <v>462</v>
      </c>
      <c r="D75" s="132" t="s">
        <v>143</v>
      </c>
      <c r="E75" s="133">
        <v>52.216666666666669</v>
      </c>
      <c r="F75" s="133">
        <v>1.1888888888888889</v>
      </c>
      <c r="G75" s="134">
        <v>65</v>
      </c>
      <c r="H75" s="134">
        <v>414</v>
      </c>
      <c r="I75" s="134">
        <v>89</v>
      </c>
      <c r="J75" s="134">
        <v>0</v>
      </c>
      <c r="K75" s="134">
        <v>568</v>
      </c>
      <c r="L75" s="134">
        <v>503</v>
      </c>
      <c r="M75" s="134">
        <v>568</v>
      </c>
      <c r="N75" s="134">
        <v>2</v>
      </c>
      <c r="O75" s="132">
        <v>63.744444444444447</v>
      </c>
      <c r="P75" s="132">
        <v>67.95</v>
      </c>
      <c r="Q75" s="132">
        <v>72.694444444444443</v>
      </c>
      <c r="R75" s="132">
        <v>83.211111111111109</v>
      </c>
      <c r="S75" s="132">
        <v>75.233333333333334</v>
      </c>
      <c r="T75" s="132">
        <v>60.733333333333334</v>
      </c>
      <c r="U75" s="132">
        <v>55.694444444444443</v>
      </c>
      <c r="V75" s="132">
        <v>49.511111111111113</v>
      </c>
      <c r="W75" s="132">
        <v>37.444444444444443</v>
      </c>
      <c r="X75" s="132">
        <v>0</v>
      </c>
      <c r="Y75" s="132">
        <v>0</v>
      </c>
      <c r="Z75" s="132">
        <v>0</v>
      </c>
      <c r="AA75" s="132">
        <v>0</v>
      </c>
      <c r="AB75" s="132">
        <v>415.51666666666671</v>
      </c>
      <c r="AC75" s="132">
        <v>86.955555555555549</v>
      </c>
      <c r="AD75" s="132">
        <v>0</v>
      </c>
      <c r="AE75" s="132">
        <v>566.2166666666667</v>
      </c>
      <c r="AF75" s="132">
        <v>502.47222222222229</v>
      </c>
      <c r="AG75" s="132">
        <v>566.2166666666667</v>
      </c>
      <c r="AH75" s="133">
        <v>62.255555555555553</v>
      </c>
      <c r="AI75" s="133">
        <v>2.1388888888888888</v>
      </c>
      <c r="AJ75" s="133">
        <v>64.394444444444446</v>
      </c>
      <c r="AK75" s="134">
        <v>53</v>
      </c>
      <c r="AL75" s="139">
        <v>54</v>
      </c>
      <c r="AM75" s="132">
        <v>63</v>
      </c>
      <c r="AN75" s="132">
        <v>66</v>
      </c>
      <c r="AO75" s="132">
        <v>81</v>
      </c>
      <c r="AP75" s="132">
        <v>74</v>
      </c>
      <c r="AQ75" s="132">
        <v>51</v>
      </c>
      <c r="AR75" s="132">
        <v>54</v>
      </c>
      <c r="AS75" s="132">
        <v>46</v>
      </c>
      <c r="AT75" s="132">
        <v>0</v>
      </c>
      <c r="AU75" s="132">
        <v>0</v>
      </c>
      <c r="AV75" s="132">
        <v>0</v>
      </c>
      <c r="AW75" s="132">
        <v>0</v>
      </c>
      <c r="AX75" s="132">
        <v>389</v>
      </c>
      <c r="AY75" s="132">
        <v>100</v>
      </c>
      <c r="AZ75" s="132">
        <v>0</v>
      </c>
      <c r="BA75" s="132">
        <v>542</v>
      </c>
      <c r="BB75" s="132">
        <v>489</v>
      </c>
      <c r="BC75" s="132">
        <v>542</v>
      </c>
      <c r="BD75" s="132">
        <v>42</v>
      </c>
      <c r="BE75" s="132">
        <v>11</v>
      </c>
      <c r="BF75" s="132">
        <v>0</v>
      </c>
      <c r="BG75" s="132">
        <v>71</v>
      </c>
      <c r="BH75" s="132">
        <v>65</v>
      </c>
      <c r="BI75" s="134">
        <v>3</v>
      </c>
      <c r="BJ75" s="134">
        <v>68</v>
      </c>
      <c r="BK75" s="134">
        <v>35</v>
      </c>
      <c r="BL75" s="134">
        <v>62</v>
      </c>
      <c r="BM75" s="134">
        <v>478</v>
      </c>
      <c r="BN75" s="134">
        <v>393</v>
      </c>
      <c r="BO75" s="134">
        <v>85</v>
      </c>
      <c r="BP75" s="134">
        <v>0</v>
      </c>
      <c r="BQ75" s="134">
        <v>540</v>
      </c>
      <c r="BR75" s="135">
        <v>6.4062500000000078E-2</v>
      </c>
      <c r="BS75" s="136">
        <v>36.5</v>
      </c>
      <c r="BT75" s="136">
        <v>35.5</v>
      </c>
      <c r="BU75" s="136">
        <v>34.5</v>
      </c>
      <c r="BV75" s="136">
        <v>38</v>
      </c>
      <c r="BW75" s="137">
        <v>0</v>
      </c>
      <c r="BX75" s="137">
        <v>0</v>
      </c>
      <c r="BY75" s="138">
        <v>0</v>
      </c>
    </row>
    <row r="76" spans="1:77">
      <c r="A76" s="130" t="s">
        <v>463</v>
      </c>
      <c r="B76" s="131" t="s">
        <v>464</v>
      </c>
      <c r="C76" s="132" t="s">
        <v>465</v>
      </c>
      <c r="D76" s="132" t="s">
        <v>143</v>
      </c>
      <c r="E76" s="133">
        <v>39.033333333333331</v>
      </c>
      <c r="F76" s="133">
        <v>3</v>
      </c>
      <c r="G76" s="134">
        <v>0</v>
      </c>
      <c r="H76" s="134">
        <v>0</v>
      </c>
      <c r="I76" s="134">
        <v>206</v>
      </c>
      <c r="J76" s="134">
        <v>417</v>
      </c>
      <c r="K76" s="134">
        <v>623</v>
      </c>
      <c r="L76" s="134">
        <v>623</v>
      </c>
      <c r="M76" s="134">
        <v>206</v>
      </c>
      <c r="N76" s="134">
        <v>2</v>
      </c>
      <c r="O76" s="132">
        <v>0</v>
      </c>
      <c r="P76" s="132">
        <v>0</v>
      </c>
      <c r="Q76" s="132">
        <v>0</v>
      </c>
      <c r="R76" s="132">
        <v>0</v>
      </c>
      <c r="S76" s="132">
        <v>0</v>
      </c>
      <c r="T76" s="132">
        <v>0</v>
      </c>
      <c r="U76" s="132">
        <v>0</v>
      </c>
      <c r="V76" s="132">
        <v>102.57222222222222</v>
      </c>
      <c r="W76" s="132">
        <v>104.04444444444445</v>
      </c>
      <c r="X76" s="132">
        <v>119.85</v>
      </c>
      <c r="Y76" s="132">
        <v>107.91666666666667</v>
      </c>
      <c r="Z76" s="132">
        <v>93.55</v>
      </c>
      <c r="AA76" s="132">
        <v>84.277777777777771</v>
      </c>
      <c r="AB76" s="132">
        <v>0</v>
      </c>
      <c r="AC76" s="132">
        <v>206.61666666666667</v>
      </c>
      <c r="AD76" s="132">
        <v>405.59444444444443</v>
      </c>
      <c r="AE76" s="132">
        <v>206.61666666666667</v>
      </c>
      <c r="AF76" s="132">
        <v>612.21111111111122</v>
      </c>
      <c r="AG76" s="132">
        <v>612.21111111111122</v>
      </c>
      <c r="AH76" s="133">
        <v>47.055555555555557</v>
      </c>
      <c r="AI76" s="133">
        <v>2</v>
      </c>
      <c r="AJ76" s="133">
        <v>49.055555555555557</v>
      </c>
      <c r="AK76" s="134">
        <v>0</v>
      </c>
      <c r="AL76" s="139">
        <v>0</v>
      </c>
      <c r="AM76" s="132">
        <v>0</v>
      </c>
      <c r="AN76" s="132">
        <v>0</v>
      </c>
      <c r="AO76" s="132">
        <v>0</v>
      </c>
      <c r="AP76" s="132">
        <v>0</v>
      </c>
      <c r="AQ76" s="132">
        <v>0</v>
      </c>
      <c r="AR76" s="132">
        <v>106</v>
      </c>
      <c r="AS76" s="132">
        <v>104</v>
      </c>
      <c r="AT76" s="132">
        <v>125</v>
      </c>
      <c r="AU76" s="132">
        <v>114</v>
      </c>
      <c r="AV76" s="132">
        <v>97</v>
      </c>
      <c r="AW76" s="132">
        <v>89</v>
      </c>
      <c r="AX76" s="132">
        <v>0</v>
      </c>
      <c r="AY76" s="132">
        <v>210</v>
      </c>
      <c r="AZ76" s="132">
        <v>425</v>
      </c>
      <c r="BA76" s="132">
        <v>210</v>
      </c>
      <c r="BB76" s="132">
        <v>635</v>
      </c>
      <c r="BC76" s="132">
        <v>635</v>
      </c>
      <c r="BD76" s="132">
        <v>0</v>
      </c>
      <c r="BE76" s="132">
        <v>0</v>
      </c>
      <c r="BF76" s="132">
        <v>0</v>
      </c>
      <c r="BG76" s="132">
        <v>44</v>
      </c>
      <c r="BH76" s="132">
        <v>48</v>
      </c>
      <c r="BI76" s="134">
        <v>3</v>
      </c>
      <c r="BJ76" s="134">
        <v>51</v>
      </c>
      <c r="BK76" s="134">
        <v>7</v>
      </c>
      <c r="BL76" s="134">
        <v>0</v>
      </c>
      <c r="BM76" s="134">
        <v>621</v>
      </c>
      <c r="BN76" s="134">
        <v>0</v>
      </c>
      <c r="BO76" s="134">
        <v>203</v>
      </c>
      <c r="BP76" s="134">
        <v>418</v>
      </c>
      <c r="BQ76" s="134">
        <v>621</v>
      </c>
      <c r="BR76" s="135">
        <v>6.8605012830149581E-2</v>
      </c>
      <c r="BS76" s="136">
        <v>34.840999999999994</v>
      </c>
      <c r="BT76" s="136">
        <v>34.340999999999994</v>
      </c>
      <c r="BU76" s="136">
        <v>34.340999999999994</v>
      </c>
      <c r="BV76" s="136">
        <v>36.841000000000008</v>
      </c>
      <c r="BW76" s="137">
        <v>0</v>
      </c>
      <c r="BX76" s="137">
        <v>0</v>
      </c>
      <c r="BY76" s="138">
        <v>0</v>
      </c>
    </row>
    <row r="77" spans="1:77">
      <c r="A77" s="130" t="s">
        <v>466</v>
      </c>
      <c r="B77" s="131" t="s">
        <v>467</v>
      </c>
      <c r="C77" s="132" t="s">
        <v>468</v>
      </c>
      <c r="D77" s="132" t="s">
        <v>143</v>
      </c>
      <c r="E77" s="133">
        <v>56.272222222222226</v>
      </c>
      <c r="F77" s="133">
        <v>0.28888888888888886</v>
      </c>
      <c r="G77" s="134">
        <v>0</v>
      </c>
      <c r="H77" s="134">
        <v>0</v>
      </c>
      <c r="I77" s="134">
        <v>50</v>
      </c>
      <c r="J77" s="134">
        <v>196</v>
      </c>
      <c r="K77" s="134">
        <v>246</v>
      </c>
      <c r="L77" s="134">
        <v>246</v>
      </c>
      <c r="M77" s="134">
        <v>50</v>
      </c>
      <c r="N77" s="134">
        <v>3</v>
      </c>
      <c r="O77" s="132">
        <v>0</v>
      </c>
      <c r="P77" s="132">
        <v>0</v>
      </c>
      <c r="Q77" s="132">
        <v>0</v>
      </c>
      <c r="R77" s="132">
        <v>0</v>
      </c>
      <c r="S77" s="132">
        <v>0</v>
      </c>
      <c r="T77" s="132">
        <v>0</v>
      </c>
      <c r="U77" s="132">
        <v>0</v>
      </c>
      <c r="V77" s="132">
        <v>17.149999999999999</v>
      </c>
      <c r="W77" s="132">
        <v>35.111111111111114</v>
      </c>
      <c r="X77" s="132">
        <v>40.516666666666666</v>
      </c>
      <c r="Y77" s="132">
        <v>58.022222222222226</v>
      </c>
      <c r="Z77" s="132">
        <v>53.977777777777774</v>
      </c>
      <c r="AA77" s="132">
        <v>50.305555555555557</v>
      </c>
      <c r="AB77" s="132">
        <v>0</v>
      </c>
      <c r="AC77" s="132">
        <v>52.261111111111113</v>
      </c>
      <c r="AD77" s="132">
        <v>202.82222222222219</v>
      </c>
      <c r="AE77" s="132">
        <v>52.261111111111113</v>
      </c>
      <c r="AF77" s="132">
        <v>255.08333333333331</v>
      </c>
      <c r="AG77" s="132">
        <v>255.08333333333331</v>
      </c>
      <c r="AH77" s="133">
        <v>59.966666666666669</v>
      </c>
      <c r="AI77" s="133">
        <v>2.0777777777777779</v>
      </c>
      <c r="AJ77" s="133">
        <v>62.044444444444444</v>
      </c>
      <c r="AK77" s="134">
        <v>0</v>
      </c>
      <c r="AL77" s="139">
        <v>0</v>
      </c>
      <c r="AM77" s="132">
        <v>0</v>
      </c>
      <c r="AN77" s="132">
        <v>0</v>
      </c>
      <c r="AO77" s="132">
        <v>0</v>
      </c>
      <c r="AP77" s="132">
        <v>0</v>
      </c>
      <c r="AQ77" s="132">
        <v>0</v>
      </c>
      <c r="AR77" s="132">
        <v>19</v>
      </c>
      <c r="AS77" s="132">
        <v>26</v>
      </c>
      <c r="AT77" s="132">
        <v>46</v>
      </c>
      <c r="AU77" s="132">
        <v>53</v>
      </c>
      <c r="AV77" s="132">
        <v>60</v>
      </c>
      <c r="AW77" s="132">
        <v>47</v>
      </c>
      <c r="AX77" s="132">
        <v>0</v>
      </c>
      <c r="AY77" s="132">
        <v>45</v>
      </c>
      <c r="AZ77" s="132">
        <v>206</v>
      </c>
      <c r="BA77" s="132">
        <v>45</v>
      </c>
      <c r="BB77" s="132">
        <v>251</v>
      </c>
      <c r="BC77" s="132">
        <v>251</v>
      </c>
      <c r="BD77" s="132">
        <v>0</v>
      </c>
      <c r="BE77" s="132">
        <v>0</v>
      </c>
      <c r="BF77" s="132">
        <v>1</v>
      </c>
      <c r="BG77" s="132">
        <v>49</v>
      </c>
      <c r="BH77" s="132">
        <v>57</v>
      </c>
      <c r="BI77" s="134">
        <v>2</v>
      </c>
      <c r="BJ77" s="134">
        <v>59</v>
      </c>
      <c r="BK77" s="134">
        <v>0</v>
      </c>
      <c r="BL77" s="134">
        <v>0</v>
      </c>
      <c r="BM77" s="134">
        <v>248</v>
      </c>
      <c r="BN77" s="134">
        <v>0</v>
      </c>
      <c r="BO77" s="134">
        <v>42</v>
      </c>
      <c r="BP77" s="134">
        <v>206</v>
      </c>
      <c r="BQ77" s="134">
        <v>248</v>
      </c>
      <c r="BR77" s="135">
        <v>6.4751713693607493E-2</v>
      </c>
      <c r="BS77" s="136">
        <v>17.106000000000002</v>
      </c>
      <c r="BT77" s="136">
        <v>17.106000000000002</v>
      </c>
      <c r="BU77" s="136">
        <v>17.106000000000002</v>
      </c>
      <c r="BV77" s="136">
        <v>18.106000000000002</v>
      </c>
      <c r="BW77" s="137">
        <v>0</v>
      </c>
      <c r="BX77" s="137">
        <v>0</v>
      </c>
      <c r="BY77" s="138">
        <v>0</v>
      </c>
    </row>
    <row r="78" spans="1:77">
      <c r="A78" s="130" t="s">
        <v>469</v>
      </c>
      <c r="B78" s="131" t="s">
        <v>470</v>
      </c>
      <c r="C78" s="132" t="s">
        <v>471</v>
      </c>
      <c r="D78" s="132" t="s">
        <v>143</v>
      </c>
      <c r="E78" s="133">
        <v>101.86111111111111</v>
      </c>
      <c r="F78" s="133">
        <v>1.461111111111111</v>
      </c>
      <c r="G78" s="134">
        <v>88</v>
      </c>
      <c r="H78" s="134">
        <v>701</v>
      </c>
      <c r="I78" s="134">
        <v>244</v>
      </c>
      <c r="J78" s="134">
        <v>80</v>
      </c>
      <c r="K78" s="134">
        <v>1113</v>
      </c>
      <c r="L78" s="134">
        <v>1025</v>
      </c>
      <c r="M78" s="134">
        <v>1033</v>
      </c>
      <c r="N78" s="134">
        <v>6</v>
      </c>
      <c r="O78" s="132">
        <v>86.455555555555549</v>
      </c>
      <c r="P78" s="132">
        <v>99.422222222222217</v>
      </c>
      <c r="Q78" s="132">
        <v>105.85</v>
      </c>
      <c r="R78" s="132">
        <v>108.07222222222222</v>
      </c>
      <c r="S78" s="132">
        <v>114.06666666666666</v>
      </c>
      <c r="T78" s="132">
        <v>120.55</v>
      </c>
      <c r="U78" s="132">
        <v>143.30000000000001</v>
      </c>
      <c r="V78" s="132">
        <v>125.23888888888889</v>
      </c>
      <c r="W78" s="132">
        <v>114.32777777777778</v>
      </c>
      <c r="X78" s="132">
        <v>79.972222222222229</v>
      </c>
      <c r="Y78" s="132">
        <v>0</v>
      </c>
      <c r="Z78" s="132">
        <v>0</v>
      </c>
      <c r="AA78" s="132">
        <v>0</v>
      </c>
      <c r="AB78" s="132">
        <v>691.26111111111118</v>
      </c>
      <c r="AC78" s="132">
        <v>239.56666666666666</v>
      </c>
      <c r="AD78" s="132">
        <v>79.972222222222229</v>
      </c>
      <c r="AE78" s="132">
        <v>1017.2833333333332</v>
      </c>
      <c r="AF78" s="132">
        <v>1010.8000000000002</v>
      </c>
      <c r="AG78" s="132">
        <v>1097.2555555555555</v>
      </c>
      <c r="AH78" s="133">
        <v>119.08333333333333</v>
      </c>
      <c r="AI78" s="133">
        <v>5.5111111111111111</v>
      </c>
      <c r="AJ78" s="133">
        <v>124.59444444444443</v>
      </c>
      <c r="AK78" s="134">
        <v>93</v>
      </c>
      <c r="AL78" s="139">
        <v>105</v>
      </c>
      <c r="AM78" s="132">
        <v>105</v>
      </c>
      <c r="AN78" s="132">
        <v>113</v>
      </c>
      <c r="AO78" s="132">
        <v>117</v>
      </c>
      <c r="AP78" s="132">
        <v>116</v>
      </c>
      <c r="AQ78" s="132">
        <v>142</v>
      </c>
      <c r="AR78" s="132">
        <v>135</v>
      </c>
      <c r="AS78" s="132">
        <v>121</v>
      </c>
      <c r="AT78" s="132">
        <v>70</v>
      </c>
      <c r="AU78" s="132">
        <v>0</v>
      </c>
      <c r="AV78" s="132">
        <v>0</v>
      </c>
      <c r="AW78" s="132">
        <v>0</v>
      </c>
      <c r="AX78" s="132">
        <v>698</v>
      </c>
      <c r="AY78" s="132">
        <v>256</v>
      </c>
      <c r="AZ78" s="132">
        <v>70</v>
      </c>
      <c r="BA78" s="132">
        <v>1047</v>
      </c>
      <c r="BB78" s="132">
        <v>1024</v>
      </c>
      <c r="BC78" s="132">
        <v>1117</v>
      </c>
      <c r="BD78" s="132">
        <v>92</v>
      </c>
      <c r="BE78" s="132">
        <v>1</v>
      </c>
      <c r="BF78" s="132">
        <v>0</v>
      </c>
      <c r="BG78" s="132">
        <v>408</v>
      </c>
      <c r="BH78" s="132">
        <v>131</v>
      </c>
      <c r="BI78" s="134">
        <v>6</v>
      </c>
      <c r="BJ78" s="134">
        <v>137</v>
      </c>
      <c r="BK78" s="134">
        <v>54</v>
      </c>
      <c r="BL78" s="134">
        <v>93</v>
      </c>
      <c r="BM78" s="134">
        <v>1024</v>
      </c>
      <c r="BN78" s="134">
        <v>693</v>
      </c>
      <c r="BO78" s="134">
        <v>245</v>
      </c>
      <c r="BP78" s="134">
        <v>86</v>
      </c>
      <c r="BQ78" s="134">
        <v>1117</v>
      </c>
      <c r="BR78" s="135">
        <v>6.8509615384615474E-2</v>
      </c>
      <c r="BS78" s="136">
        <v>60.05</v>
      </c>
      <c r="BT78" s="136">
        <v>60.05</v>
      </c>
      <c r="BU78" s="136">
        <v>59.05</v>
      </c>
      <c r="BV78" s="136">
        <v>60.05</v>
      </c>
      <c r="BW78" s="137">
        <v>0</v>
      </c>
      <c r="BX78" s="137">
        <v>0</v>
      </c>
      <c r="BY78" s="138">
        <v>0</v>
      </c>
    </row>
    <row r="79" spans="1:77">
      <c r="A79" s="130" t="s">
        <v>472</v>
      </c>
      <c r="B79" s="131" t="s">
        <v>473</v>
      </c>
      <c r="C79" s="132" t="s">
        <v>474</v>
      </c>
      <c r="D79" s="132" t="s">
        <v>143</v>
      </c>
      <c r="E79" s="133">
        <v>71.216666666666669</v>
      </c>
      <c r="F79" s="133">
        <v>44.244444444444447</v>
      </c>
      <c r="G79" s="134">
        <v>50</v>
      </c>
      <c r="H79" s="134">
        <v>311</v>
      </c>
      <c r="I79" s="134">
        <v>230</v>
      </c>
      <c r="J79" s="134">
        <v>444</v>
      </c>
      <c r="K79" s="134">
        <v>1035</v>
      </c>
      <c r="L79" s="134">
        <v>985</v>
      </c>
      <c r="M79" s="134">
        <v>591</v>
      </c>
      <c r="N79" s="134">
        <v>67</v>
      </c>
      <c r="O79" s="132">
        <v>45.666666666666664</v>
      </c>
      <c r="P79" s="132">
        <v>39.283333333333331</v>
      </c>
      <c r="Q79" s="132">
        <v>37.644444444444446</v>
      </c>
      <c r="R79" s="132">
        <v>38.355555555555554</v>
      </c>
      <c r="S79" s="132">
        <v>42.716666666666669</v>
      </c>
      <c r="T79" s="132">
        <v>42.266666666666666</v>
      </c>
      <c r="U79" s="132">
        <v>78.277777777777771</v>
      </c>
      <c r="V79" s="132">
        <v>89.805555555555557</v>
      </c>
      <c r="W79" s="132">
        <v>118.31111111111112</v>
      </c>
      <c r="X79" s="132">
        <v>135.87777777777777</v>
      </c>
      <c r="Y79" s="132">
        <v>108.68333333333334</v>
      </c>
      <c r="Z79" s="132">
        <v>103.72777777777777</v>
      </c>
      <c r="AA79" s="132">
        <v>80.11666666666666</v>
      </c>
      <c r="AB79" s="132">
        <v>278.54444444444442</v>
      </c>
      <c r="AC79" s="132">
        <v>208.11666666666667</v>
      </c>
      <c r="AD79" s="132">
        <v>428.40555555555557</v>
      </c>
      <c r="AE79" s="132">
        <v>532.32777777777778</v>
      </c>
      <c r="AF79" s="132">
        <v>915.06666666666661</v>
      </c>
      <c r="AG79" s="132">
        <v>960.73333333333335</v>
      </c>
      <c r="AH79" s="133">
        <v>39.772222222222226</v>
      </c>
      <c r="AI79" s="133">
        <v>62.861111111111114</v>
      </c>
      <c r="AJ79" s="133">
        <v>102.63333333333334</v>
      </c>
      <c r="AK79" s="134">
        <v>39</v>
      </c>
      <c r="AL79" s="139">
        <v>45</v>
      </c>
      <c r="AM79" s="132">
        <v>39</v>
      </c>
      <c r="AN79" s="132">
        <v>45</v>
      </c>
      <c r="AO79" s="132">
        <v>56</v>
      </c>
      <c r="AP79" s="132">
        <v>51</v>
      </c>
      <c r="AQ79" s="132">
        <v>65</v>
      </c>
      <c r="AR79" s="132">
        <v>87</v>
      </c>
      <c r="AS79" s="132">
        <v>100</v>
      </c>
      <c r="AT79" s="132">
        <v>122</v>
      </c>
      <c r="AU79" s="132">
        <v>95</v>
      </c>
      <c r="AV79" s="132">
        <v>115</v>
      </c>
      <c r="AW79" s="132">
        <v>103</v>
      </c>
      <c r="AX79" s="132">
        <v>301</v>
      </c>
      <c r="AY79" s="132">
        <v>187</v>
      </c>
      <c r="AZ79" s="132">
        <v>435</v>
      </c>
      <c r="BA79" s="132">
        <v>527</v>
      </c>
      <c r="BB79" s="132">
        <v>923</v>
      </c>
      <c r="BC79" s="132">
        <v>962</v>
      </c>
      <c r="BD79" s="132">
        <v>39</v>
      </c>
      <c r="BE79" s="132">
        <v>0</v>
      </c>
      <c r="BF79" s="132">
        <v>0</v>
      </c>
      <c r="BG79" s="132">
        <v>312</v>
      </c>
      <c r="BH79" s="132">
        <v>50</v>
      </c>
      <c r="BI79" s="134">
        <v>57</v>
      </c>
      <c r="BJ79" s="134">
        <v>107</v>
      </c>
      <c r="BK79" s="134">
        <v>28</v>
      </c>
      <c r="BL79" s="134">
        <v>48</v>
      </c>
      <c r="BM79" s="134">
        <v>902</v>
      </c>
      <c r="BN79" s="134">
        <v>296</v>
      </c>
      <c r="BO79" s="134">
        <v>191</v>
      </c>
      <c r="BP79" s="134">
        <v>415</v>
      </c>
      <c r="BQ79" s="134">
        <v>950</v>
      </c>
      <c r="BR79" s="135">
        <v>8.1430518122209306E-2</v>
      </c>
      <c r="BS79" s="136">
        <v>51.285999999999987</v>
      </c>
      <c r="BT79" s="136">
        <v>48.285999999999987</v>
      </c>
      <c r="BU79" s="136">
        <v>48.285999999999987</v>
      </c>
      <c r="BV79" s="136">
        <v>52.228999999999985</v>
      </c>
      <c r="BW79" s="137">
        <v>767</v>
      </c>
      <c r="BX79" s="137">
        <v>476</v>
      </c>
      <c r="BY79" s="138">
        <v>674.77777700000001</v>
      </c>
    </row>
    <row r="80" spans="1:77">
      <c r="A80" s="130" t="s">
        <v>475</v>
      </c>
      <c r="B80" s="131" t="s">
        <v>476</v>
      </c>
      <c r="C80" s="132" t="s">
        <v>477</v>
      </c>
      <c r="D80" s="132" t="s">
        <v>143</v>
      </c>
      <c r="E80" s="133">
        <v>46.511111111111113</v>
      </c>
      <c r="F80" s="133">
        <v>0.6333333333333333</v>
      </c>
      <c r="G80" s="134">
        <v>88</v>
      </c>
      <c r="H80" s="134">
        <v>441</v>
      </c>
      <c r="I80" s="134">
        <v>0</v>
      </c>
      <c r="J80" s="134">
        <v>0</v>
      </c>
      <c r="K80" s="134">
        <v>529</v>
      </c>
      <c r="L80" s="134">
        <v>441</v>
      </c>
      <c r="M80" s="134">
        <v>529</v>
      </c>
      <c r="N80" s="134">
        <v>1</v>
      </c>
      <c r="O80" s="132">
        <v>87.194444444444443</v>
      </c>
      <c r="P80" s="132">
        <v>82.7</v>
      </c>
      <c r="Q80" s="132">
        <v>81.355555555555554</v>
      </c>
      <c r="R80" s="132">
        <v>76.805555555555557</v>
      </c>
      <c r="S80" s="132">
        <v>80.222222222222229</v>
      </c>
      <c r="T80" s="132">
        <v>65.577777777777783</v>
      </c>
      <c r="U80" s="132">
        <v>56.955555555555556</v>
      </c>
      <c r="V80" s="132">
        <v>0</v>
      </c>
      <c r="W80" s="132">
        <v>0</v>
      </c>
      <c r="X80" s="132">
        <v>0</v>
      </c>
      <c r="Y80" s="132">
        <v>0</v>
      </c>
      <c r="Z80" s="132">
        <v>0</v>
      </c>
      <c r="AA80" s="132">
        <v>0</v>
      </c>
      <c r="AB80" s="132">
        <v>443.61666666666667</v>
      </c>
      <c r="AC80" s="132">
        <v>0</v>
      </c>
      <c r="AD80" s="132">
        <v>0</v>
      </c>
      <c r="AE80" s="132">
        <v>530.81111111111113</v>
      </c>
      <c r="AF80" s="132">
        <v>443.61666666666667</v>
      </c>
      <c r="AG80" s="132">
        <v>530.81111111111113</v>
      </c>
      <c r="AH80" s="133">
        <v>49.983333333333334</v>
      </c>
      <c r="AI80" s="133">
        <v>1</v>
      </c>
      <c r="AJ80" s="133">
        <v>50.983333333333334</v>
      </c>
      <c r="AK80" s="134">
        <v>80</v>
      </c>
      <c r="AL80" s="139">
        <v>83</v>
      </c>
      <c r="AM80" s="132">
        <v>81</v>
      </c>
      <c r="AN80" s="132">
        <v>81</v>
      </c>
      <c r="AO80" s="132">
        <v>78</v>
      </c>
      <c r="AP80" s="132">
        <v>76</v>
      </c>
      <c r="AQ80" s="132">
        <v>60</v>
      </c>
      <c r="AR80" s="132">
        <v>0</v>
      </c>
      <c r="AS80" s="132">
        <v>0</v>
      </c>
      <c r="AT80" s="132">
        <v>0</v>
      </c>
      <c r="AU80" s="132">
        <v>0</v>
      </c>
      <c r="AV80" s="132">
        <v>0</v>
      </c>
      <c r="AW80" s="132">
        <v>0</v>
      </c>
      <c r="AX80" s="132">
        <v>459</v>
      </c>
      <c r="AY80" s="132">
        <v>0</v>
      </c>
      <c r="AZ80" s="132">
        <v>0</v>
      </c>
      <c r="BA80" s="132">
        <v>539</v>
      </c>
      <c r="BB80" s="132">
        <v>459</v>
      </c>
      <c r="BC80" s="132">
        <v>539</v>
      </c>
      <c r="BD80" s="132">
        <v>80</v>
      </c>
      <c r="BE80" s="132">
        <v>0</v>
      </c>
      <c r="BF80" s="132">
        <v>0</v>
      </c>
      <c r="BG80" s="132">
        <v>212</v>
      </c>
      <c r="BH80" s="132">
        <v>61</v>
      </c>
      <c r="BI80" s="134">
        <v>0</v>
      </c>
      <c r="BJ80" s="134">
        <v>61</v>
      </c>
      <c r="BK80" s="134">
        <v>259</v>
      </c>
      <c r="BL80" s="134">
        <v>81</v>
      </c>
      <c r="BM80" s="134">
        <v>455</v>
      </c>
      <c r="BN80" s="134">
        <v>408</v>
      </c>
      <c r="BO80" s="134">
        <v>47</v>
      </c>
      <c r="BP80" s="134">
        <v>0</v>
      </c>
      <c r="BQ80" s="134">
        <v>536</v>
      </c>
      <c r="BR80" s="135">
        <v>6.5104166666666685E-2</v>
      </c>
      <c r="BS80" s="136">
        <v>27</v>
      </c>
      <c r="BT80" s="136">
        <v>24</v>
      </c>
      <c r="BU80" s="136">
        <v>24</v>
      </c>
      <c r="BV80" s="136">
        <v>28</v>
      </c>
      <c r="BW80" s="137">
        <v>0</v>
      </c>
      <c r="BX80" s="137">
        <v>0</v>
      </c>
      <c r="BY80" s="138">
        <v>0</v>
      </c>
    </row>
    <row r="81" spans="1:77">
      <c r="A81" s="130" t="s">
        <v>478</v>
      </c>
      <c r="B81" s="131" t="s">
        <v>479</v>
      </c>
      <c r="C81" s="132" t="s">
        <v>480</v>
      </c>
      <c r="D81" s="132" t="s">
        <v>143</v>
      </c>
      <c r="E81" s="133">
        <v>260.12222222222221</v>
      </c>
      <c r="F81" s="133">
        <v>21.666666666666668</v>
      </c>
      <c r="G81" s="134">
        <v>315</v>
      </c>
      <c r="H81" s="134">
        <v>1864</v>
      </c>
      <c r="I81" s="134">
        <v>319</v>
      </c>
      <c r="J81" s="134">
        <v>141</v>
      </c>
      <c r="K81" s="134">
        <v>2639</v>
      </c>
      <c r="L81" s="134">
        <v>2324</v>
      </c>
      <c r="M81" s="134">
        <v>2498</v>
      </c>
      <c r="N81" s="134">
        <v>31</v>
      </c>
      <c r="O81" s="132">
        <v>308.64999999999998</v>
      </c>
      <c r="P81" s="132">
        <v>329.86111111111109</v>
      </c>
      <c r="Q81" s="132">
        <v>349.56111111111113</v>
      </c>
      <c r="R81" s="132">
        <v>310.77777777777777</v>
      </c>
      <c r="S81" s="132">
        <v>313.46666666666664</v>
      </c>
      <c r="T81" s="132">
        <v>260.72777777777776</v>
      </c>
      <c r="U81" s="132">
        <v>249.02777777777777</v>
      </c>
      <c r="V81" s="132">
        <v>157.77777777777777</v>
      </c>
      <c r="W81" s="132">
        <v>148.92222222222222</v>
      </c>
      <c r="X81" s="132">
        <v>134.64444444444445</v>
      </c>
      <c r="Y81" s="132">
        <v>0</v>
      </c>
      <c r="Z81" s="132">
        <v>0</v>
      </c>
      <c r="AA81" s="132">
        <v>0</v>
      </c>
      <c r="AB81" s="132">
        <v>1813.4222222222224</v>
      </c>
      <c r="AC81" s="132">
        <v>306.7</v>
      </c>
      <c r="AD81" s="132">
        <v>134.64444444444445</v>
      </c>
      <c r="AE81" s="132">
        <v>2428.7722222222219</v>
      </c>
      <c r="AF81" s="132">
        <v>2254.7666666666669</v>
      </c>
      <c r="AG81" s="132">
        <v>2563.4166666666665</v>
      </c>
      <c r="AH81" s="133">
        <v>343.21666666666664</v>
      </c>
      <c r="AI81" s="133">
        <v>30.005555555555556</v>
      </c>
      <c r="AJ81" s="133">
        <v>373.22222222222217</v>
      </c>
      <c r="AK81" s="134">
        <v>373</v>
      </c>
      <c r="AL81" s="139">
        <v>339</v>
      </c>
      <c r="AM81" s="132">
        <v>353</v>
      </c>
      <c r="AN81" s="132">
        <v>345</v>
      </c>
      <c r="AO81" s="132">
        <v>330</v>
      </c>
      <c r="AP81" s="132">
        <v>317</v>
      </c>
      <c r="AQ81" s="132">
        <v>266</v>
      </c>
      <c r="AR81" s="132">
        <v>167</v>
      </c>
      <c r="AS81" s="132">
        <v>149</v>
      </c>
      <c r="AT81" s="132">
        <v>115</v>
      </c>
      <c r="AU81" s="132">
        <v>0</v>
      </c>
      <c r="AV81" s="132">
        <v>0</v>
      </c>
      <c r="AW81" s="132">
        <v>0</v>
      </c>
      <c r="AX81" s="132">
        <v>1950</v>
      </c>
      <c r="AY81" s="132">
        <v>316</v>
      </c>
      <c r="AZ81" s="132">
        <v>115</v>
      </c>
      <c r="BA81" s="132">
        <v>2639</v>
      </c>
      <c r="BB81" s="132">
        <v>2381</v>
      </c>
      <c r="BC81" s="132">
        <v>2754</v>
      </c>
      <c r="BD81" s="132">
        <v>177</v>
      </c>
      <c r="BE81" s="132">
        <v>196</v>
      </c>
      <c r="BF81" s="132">
        <v>0</v>
      </c>
      <c r="BG81" s="132">
        <v>892</v>
      </c>
      <c r="BH81" s="132">
        <v>336</v>
      </c>
      <c r="BI81" s="134">
        <v>30</v>
      </c>
      <c r="BJ81" s="134">
        <v>366</v>
      </c>
      <c r="BK81" s="134">
        <v>334</v>
      </c>
      <c r="BL81" s="134">
        <v>359</v>
      </c>
      <c r="BM81" s="134">
        <v>2326</v>
      </c>
      <c r="BN81" s="134">
        <v>1920</v>
      </c>
      <c r="BO81" s="134">
        <v>294</v>
      </c>
      <c r="BP81" s="134">
        <v>112</v>
      </c>
      <c r="BQ81" s="134">
        <v>2685</v>
      </c>
      <c r="BR81" s="135">
        <v>6.6970775885908052E-2</v>
      </c>
      <c r="BS81" s="136">
        <v>171.464</v>
      </c>
      <c r="BT81" s="136">
        <v>161.464</v>
      </c>
      <c r="BU81" s="136">
        <v>159.464</v>
      </c>
      <c r="BV81" s="136">
        <v>171.464</v>
      </c>
      <c r="BW81" s="137">
        <v>0</v>
      </c>
      <c r="BX81" s="137">
        <v>0</v>
      </c>
      <c r="BY81" s="138">
        <v>0</v>
      </c>
    </row>
    <row r="82" spans="1:77">
      <c r="A82" s="130" t="s">
        <v>481</v>
      </c>
      <c r="B82" s="131" t="s">
        <v>482</v>
      </c>
      <c r="C82" s="132" t="s">
        <v>483</v>
      </c>
      <c r="D82" s="132" t="s">
        <v>143</v>
      </c>
      <c r="E82" s="133">
        <v>154.75555555555556</v>
      </c>
      <c r="F82" s="133">
        <v>4.9666666666666668</v>
      </c>
      <c r="G82" s="134">
        <v>0</v>
      </c>
      <c r="H82" s="134">
        <v>0</v>
      </c>
      <c r="I82" s="134">
        <v>307</v>
      </c>
      <c r="J82" s="134">
        <v>605</v>
      </c>
      <c r="K82" s="134">
        <v>912</v>
      </c>
      <c r="L82" s="134">
        <v>912</v>
      </c>
      <c r="M82" s="134">
        <v>307</v>
      </c>
      <c r="N82" s="134">
        <v>6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138.13888888888889</v>
      </c>
      <c r="W82" s="132">
        <v>151.65555555555557</v>
      </c>
      <c r="X82" s="132">
        <v>170.19444444444446</v>
      </c>
      <c r="Y82" s="132">
        <v>145.63333333333333</v>
      </c>
      <c r="Z82" s="132">
        <v>144.23333333333332</v>
      </c>
      <c r="AA82" s="132">
        <v>117.48333333333333</v>
      </c>
      <c r="AB82" s="132">
        <v>0</v>
      </c>
      <c r="AC82" s="132">
        <v>289.79444444444448</v>
      </c>
      <c r="AD82" s="132">
        <v>577.54444444444448</v>
      </c>
      <c r="AE82" s="132">
        <v>289.79444444444448</v>
      </c>
      <c r="AF82" s="132">
        <v>867.33888888888896</v>
      </c>
      <c r="AG82" s="132">
        <v>867.33888888888896</v>
      </c>
      <c r="AH82" s="133">
        <v>147.02777777777777</v>
      </c>
      <c r="AI82" s="133">
        <v>5.7333333333333334</v>
      </c>
      <c r="AJ82" s="133">
        <v>152.76111111111109</v>
      </c>
      <c r="AK82" s="134">
        <v>0</v>
      </c>
      <c r="AL82" s="139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147</v>
      </c>
      <c r="AS82" s="132">
        <v>153</v>
      </c>
      <c r="AT82" s="132">
        <v>182</v>
      </c>
      <c r="AU82" s="132">
        <v>166</v>
      </c>
      <c r="AV82" s="132">
        <v>132</v>
      </c>
      <c r="AW82" s="132">
        <v>126</v>
      </c>
      <c r="AX82" s="132">
        <v>0</v>
      </c>
      <c r="AY82" s="132">
        <v>300</v>
      </c>
      <c r="AZ82" s="132">
        <v>606</v>
      </c>
      <c r="BA82" s="132">
        <v>300</v>
      </c>
      <c r="BB82" s="132">
        <v>906</v>
      </c>
      <c r="BC82" s="132">
        <v>906</v>
      </c>
      <c r="BD82" s="132">
        <v>0</v>
      </c>
      <c r="BE82" s="132">
        <v>0</v>
      </c>
      <c r="BF82" s="132">
        <v>0</v>
      </c>
      <c r="BG82" s="132">
        <v>298</v>
      </c>
      <c r="BH82" s="132">
        <v>150</v>
      </c>
      <c r="BI82" s="134">
        <v>6</v>
      </c>
      <c r="BJ82" s="134">
        <v>156</v>
      </c>
      <c r="BK82" s="134">
        <v>145</v>
      </c>
      <c r="BL82" s="134">
        <v>0</v>
      </c>
      <c r="BM82" s="134">
        <v>900</v>
      </c>
      <c r="BN82" s="134">
        <v>0</v>
      </c>
      <c r="BO82" s="134">
        <v>319</v>
      </c>
      <c r="BP82" s="134">
        <v>581</v>
      </c>
      <c r="BQ82" s="134">
        <v>900</v>
      </c>
      <c r="BR82" s="135">
        <v>7.9091166477916308E-2</v>
      </c>
      <c r="BS82" s="136">
        <v>67.16</v>
      </c>
      <c r="BT82" s="136">
        <v>64.16</v>
      </c>
      <c r="BU82" s="136">
        <v>63.660000000000004</v>
      </c>
      <c r="BV82" s="136">
        <v>68.16</v>
      </c>
      <c r="BW82" s="137">
        <v>0</v>
      </c>
      <c r="BX82" s="137">
        <v>0</v>
      </c>
      <c r="BY82" s="138">
        <v>0</v>
      </c>
    </row>
    <row r="83" spans="1:77">
      <c r="A83" s="130" t="s">
        <v>484</v>
      </c>
      <c r="B83" s="131" t="s">
        <v>485</v>
      </c>
      <c r="C83" s="132" t="s">
        <v>486</v>
      </c>
      <c r="D83" s="132" t="s">
        <v>143</v>
      </c>
      <c r="E83" s="133">
        <v>93.188888888888883</v>
      </c>
      <c r="F83" s="133">
        <v>1.0777777777777777</v>
      </c>
      <c r="G83" s="134">
        <v>50</v>
      </c>
      <c r="H83" s="134">
        <v>313</v>
      </c>
      <c r="I83" s="134">
        <v>101</v>
      </c>
      <c r="J83" s="134">
        <v>0</v>
      </c>
      <c r="K83" s="134">
        <v>464</v>
      </c>
      <c r="L83" s="134">
        <v>414</v>
      </c>
      <c r="M83" s="134">
        <v>464</v>
      </c>
      <c r="N83" s="134">
        <v>2</v>
      </c>
      <c r="O83" s="132">
        <v>46.283333333333331</v>
      </c>
      <c r="P83" s="132">
        <v>47.1</v>
      </c>
      <c r="Q83" s="132">
        <v>48.294444444444444</v>
      </c>
      <c r="R83" s="132">
        <v>46.422222222222224</v>
      </c>
      <c r="S83" s="132">
        <v>52.172222222222224</v>
      </c>
      <c r="T83" s="132">
        <v>49.31666666666667</v>
      </c>
      <c r="U83" s="132">
        <v>54.238888888888887</v>
      </c>
      <c r="V83" s="132">
        <v>45.522222222222226</v>
      </c>
      <c r="W83" s="132">
        <v>54.694444444444443</v>
      </c>
      <c r="X83" s="132">
        <v>0</v>
      </c>
      <c r="Y83" s="132">
        <v>0</v>
      </c>
      <c r="Z83" s="132">
        <v>0</v>
      </c>
      <c r="AA83" s="132">
        <v>0</v>
      </c>
      <c r="AB83" s="132">
        <v>297.54444444444442</v>
      </c>
      <c r="AC83" s="132">
        <v>100.21666666666667</v>
      </c>
      <c r="AD83" s="132">
        <v>0</v>
      </c>
      <c r="AE83" s="132">
        <v>444.04444444444448</v>
      </c>
      <c r="AF83" s="132">
        <v>397.76111111111112</v>
      </c>
      <c r="AG83" s="132">
        <v>444.04444444444448</v>
      </c>
      <c r="AH83" s="133">
        <v>90.583333333333329</v>
      </c>
      <c r="AI83" s="133">
        <v>0</v>
      </c>
      <c r="AJ83" s="133">
        <v>90.583333333333329</v>
      </c>
      <c r="AK83" s="134">
        <v>33</v>
      </c>
      <c r="AL83" s="139">
        <v>38</v>
      </c>
      <c r="AM83" s="132">
        <v>36</v>
      </c>
      <c r="AN83" s="132">
        <v>39</v>
      </c>
      <c r="AO83" s="132">
        <v>43</v>
      </c>
      <c r="AP83" s="132">
        <v>48</v>
      </c>
      <c r="AQ83" s="132">
        <v>53</v>
      </c>
      <c r="AR83" s="132">
        <v>41</v>
      </c>
      <c r="AS83" s="132">
        <v>34</v>
      </c>
      <c r="AT83" s="132">
        <v>0</v>
      </c>
      <c r="AU83" s="132">
        <v>0</v>
      </c>
      <c r="AV83" s="132">
        <v>0</v>
      </c>
      <c r="AW83" s="132">
        <v>0</v>
      </c>
      <c r="AX83" s="132">
        <v>257</v>
      </c>
      <c r="AY83" s="132">
        <v>75</v>
      </c>
      <c r="AZ83" s="132">
        <v>0</v>
      </c>
      <c r="BA83" s="132">
        <v>365</v>
      </c>
      <c r="BB83" s="132">
        <v>332</v>
      </c>
      <c r="BC83" s="132">
        <v>365</v>
      </c>
      <c r="BD83" s="132">
        <v>33</v>
      </c>
      <c r="BE83" s="132">
        <v>0</v>
      </c>
      <c r="BF83" s="132">
        <v>0</v>
      </c>
      <c r="BG83" s="132">
        <v>117</v>
      </c>
      <c r="BH83" s="132">
        <v>70</v>
      </c>
      <c r="BI83" s="134">
        <v>0</v>
      </c>
      <c r="BJ83" s="134">
        <v>70</v>
      </c>
      <c r="BK83" s="134">
        <v>2</v>
      </c>
      <c r="BL83" s="134">
        <v>35</v>
      </c>
      <c r="BM83" s="134">
        <v>330</v>
      </c>
      <c r="BN83" s="134">
        <v>254</v>
      </c>
      <c r="BO83" s="134">
        <v>76</v>
      </c>
      <c r="BP83" s="134">
        <v>0</v>
      </c>
      <c r="BQ83" s="134">
        <v>365</v>
      </c>
      <c r="BR83" s="135">
        <v>7.1303546752648495E-2</v>
      </c>
      <c r="BS83" s="136">
        <v>27.31</v>
      </c>
      <c r="BT83" s="136">
        <v>25.21</v>
      </c>
      <c r="BU83" s="136">
        <v>24.21</v>
      </c>
      <c r="BV83" s="136">
        <v>29.310000000000002</v>
      </c>
      <c r="BW83" s="137">
        <v>0</v>
      </c>
      <c r="BX83" s="137">
        <v>0</v>
      </c>
      <c r="BY83" s="138">
        <v>0</v>
      </c>
    </row>
    <row r="84" spans="1:77">
      <c r="A84" s="130" t="s">
        <v>487</v>
      </c>
      <c r="B84" s="131" t="s">
        <v>488</v>
      </c>
      <c r="C84" s="132" t="s">
        <v>489</v>
      </c>
      <c r="D84" s="132" t="s">
        <v>143</v>
      </c>
      <c r="E84" s="133">
        <v>41.333333333333336</v>
      </c>
      <c r="F84" s="133">
        <v>0</v>
      </c>
      <c r="G84" s="134">
        <v>57</v>
      </c>
      <c r="H84" s="134">
        <v>284</v>
      </c>
      <c r="I84" s="134">
        <v>126</v>
      </c>
      <c r="J84" s="134">
        <v>168</v>
      </c>
      <c r="K84" s="134">
        <v>635</v>
      </c>
      <c r="L84" s="134">
        <v>578</v>
      </c>
      <c r="M84" s="134">
        <v>467</v>
      </c>
      <c r="N84" s="134">
        <v>0</v>
      </c>
      <c r="O84" s="132">
        <v>60.322222222222223</v>
      </c>
      <c r="P84" s="132">
        <v>43.827777777777776</v>
      </c>
      <c r="Q84" s="132">
        <v>46.366666666666667</v>
      </c>
      <c r="R84" s="132">
        <v>45.31666666666667</v>
      </c>
      <c r="S84" s="132">
        <v>27.127777777777776</v>
      </c>
      <c r="T84" s="132">
        <v>43.227777777777774</v>
      </c>
      <c r="U84" s="132">
        <v>69.972222222222229</v>
      </c>
      <c r="V84" s="132">
        <v>71.294444444444451</v>
      </c>
      <c r="W84" s="132">
        <v>52.272222222222226</v>
      </c>
      <c r="X84" s="132">
        <v>68.361111111111114</v>
      </c>
      <c r="Y84" s="132">
        <v>51.894444444444446</v>
      </c>
      <c r="Z84" s="132">
        <v>25.588888888888889</v>
      </c>
      <c r="AA84" s="132">
        <v>18.56111111111111</v>
      </c>
      <c r="AB84" s="132">
        <v>275.8388888888889</v>
      </c>
      <c r="AC84" s="132">
        <v>123.56666666666668</v>
      </c>
      <c r="AD84" s="132">
        <v>164.40555555555554</v>
      </c>
      <c r="AE84" s="132">
        <v>459.72777777777776</v>
      </c>
      <c r="AF84" s="132">
        <v>563.81111111111102</v>
      </c>
      <c r="AG84" s="132">
        <v>624.13333333333333</v>
      </c>
      <c r="AH84" s="133">
        <v>51.538888888888891</v>
      </c>
      <c r="AI84" s="133">
        <v>0</v>
      </c>
      <c r="AJ84" s="133">
        <v>51.538888888888891</v>
      </c>
      <c r="AK84" s="134">
        <v>61</v>
      </c>
      <c r="AL84" s="139">
        <v>71</v>
      </c>
      <c r="AM84" s="132">
        <v>56</v>
      </c>
      <c r="AN84" s="132">
        <v>68</v>
      </c>
      <c r="AO84" s="132">
        <v>55</v>
      </c>
      <c r="AP84" s="132">
        <v>49</v>
      </c>
      <c r="AQ84" s="132">
        <v>83</v>
      </c>
      <c r="AR84" s="132">
        <v>76</v>
      </c>
      <c r="AS84" s="132">
        <v>72</v>
      </c>
      <c r="AT84" s="132">
        <v>47</v>
      </c>
      <c r="AU84" s="132">
        <v>63</v>
      </c>
      <c r="AV84" s="132">
        <v>36</v>
      </c>
      <c r="AW84" s="132">
        <v>23</v>
      </c>
      <c r="AX84" s="132">
        <v>382</v>
      </c>
      <c r="AY84" s="132">
        <v>148</v>
      </c>
      <c r="AZ84" s="132">
        <v>169</v>
      </c>
      <c r="BA84" s="132">
        <v>591</v>
      </c>
      <c r="BB84" s="132">
        <v>699</v>
      </c>
      <c r="BC84" s="132">
        <v>760</v>
      </c>
      <c r="BD84" s="132">
        <v>61</v>
      </c>
      <c r="BE84" s="132">
        <v>0</v>
      </c>
      <c r="BF84" s="132">
        <v>3</v>
      </c>
      <c r="BG84" s="132">
        <v>200</v>
      </c>
      <c r="BH84" s="132">
        <v>72</v>
      </c>
      <c r="BI84" s="134">
        <v>1</v>
      </c>
      <c r="BJ84" s="134">
        <v>73</v>
      </c>
      <c r="BK84" s="134">
        <v>83</v>
      </c>
      <c r="BL84" s="134">
        <v>66</v>
      </c>
      <c r="BM84" s="134">
        <v>694</v>
      </c>
      <c r="BN84" s="134">
        <v>394</v>
      </c>
      <c r="BO84" s="134">
        <v>130</v>
      </c>
      <c r="BP84" s="134">
        <v>170</v>
      </c>
      <c r="BQ84" s="134">
        <v>760</v>
      </c>
      <c r="BR84" s="135">
        <v>6.8402777777777812E-2</v>
      </c>
      <c r="BS84" s="136">
        <v>56.85</v>
      </c>
      <c r="BT84" s="136">
        <v>53.850000000000009</v>
      </c>
      <c r="BU84" s="136">
        <v>53.850000000000009</v>
      </c>
      <c r="BV84" s="136">
        <v>57.849999999999994</v>
      </c>
      <c r="BW84" s="137">
        <v>0</v>
      </c>
      <c r="BX84" s="137">
        <v>0</v>
      </c>
      <c r="BY84" s="138">
        <v>0</v>
      </c>
    </row>
    <row r="85" spans="1:77">
      <c r="A85" s="130" t="s">
        <v>490</v>
      </c>
      <c r="B85" s="131" t="s">
        <v>491</v>
      </c>
      <c r="C85" s="132" t="s">
        <v>492</v>
      </c>
      <c r="D85" s="132" t="s">
        <v>143</v>
      </c>
      <c r="E85" s="133">
        <v>138.71111111111111</v>
      </c>
      <c r="F85" s="133">
        <v>3.9666666666666668</v>
      </c>
      <c r="G85" s="134">
        <v>127</v>
      </c>
      <c r="H85" s="134">
        <v>727</v>
      </c>
      <c r="I85" s="134">
        <v>202</v>
      </c>
      <c r="J85" s="134">
        <v>0</v>
      </c>
      <c r="K85" s="134">
        <v>1056</v>
      </c>
      <c r="L85" s="134">
        <v>929</v>
      </c>
      <c r="M85" s="134">
        <v>1056</v>
      </c>
      <c r="N85" s="134">
        <v>5</v>
      </c>
      <c r="O85" s="132">
        <v>128.70555555555555</v>
      </c>
      <c r="P85" s="132">
        <v>118.78333333333333</v>
      </c>
      <c r="Q85" s="132">
        <v>123.12222222222222</v>
      </c>
      <c r="R85" s="132">
        <v>123.75555555555556</v>
      </c>
      <c r="S85" s="132">
        <v>124.18333333333334</v>
      </c>
      <c r="T85" s="132">
        <v>117.30555555555556</v>
      </c>
      <c r="U85" s="132">
        <v>116.22222222222223</v>
      </c>
      <c r="V85" s="132">
        <v>101.67777777777778</v>
      </c>
      <c r="W85" s="132">
        <v>95.644444444444446</v>
      </c>
      <c r="X85" s="132">
        <v>0</v>
      </c>
      <c r="Y85" s="132">
        <v>0</v>
      </c>
      <c r="Z85" s="132">
        <v>0</v>
      </c>
      <c r="AA85" s="132">
        <v>0</v>
      </c>
      <c r="AB85" s="132">
        <v>723.37222222222226</v>
      </c>
      <c r="AC85" s="132">
        <v>197.32222222222222</v>
      </c>
      <c r="AD85" s="132">
        <v>0</v>
      </c>
      <c r="AE85" s="132">
        <v>1049.4000000000001</v>
      </c>
      <c r="AF85" s="132">
        <v>920.69444444444457</v>
      </c>
      <c r="AG85" s="132">
        <v>1049.4000000000001</v>
      </c>
      <c r="AH85" s="133">
        <v>159.60555555555555</v>
      </c>
      <c r="AI85" s="133">
        <v>5.8111111111111109</v>
      </c>
      <c r="AJ85" s="133">
        <v>165.41666666666666</v>
      </c>
      <c r="AK85" s="134">
        <v>137</v>
      </c>
      <c r="AL85" s="139">
        <v>122</v>
      </c>
      <c r="AM85" s="132">
        <v>121</v>
      </c>
      <c r="AN85" s="132">
        <v>120</v>
      </c>
      <c r="AO85" s="132">
        <v>121</v>
      </c>
      <c r="AP85" s="132">
        <v>122</v>
      </c>
      <c r="AQ85" s="132">
        <v>120</v>
      </c>
      <c r="AR85" s="132">
        <v>108</v>
      </c>
      <c r="AS85" s="132">
        <v>102</v>
      </c>
      <c r="AT85" s="132">
        <v>0</v>
      </c>
      <c r="AU85" s="132">
        <v>0</v>
      </c>
      <c r="AV85" s="132">
        <v>0</v>
      </c>
      <c r="AW85" s="132">
        <v>0</v>
      </c>
      <c r="AX85" s="132">
        <v>726</v>
      </c>
      <c r="AY85" s="132">
        <v>210</v>
      </c>
      <c r="AZ85" s="132">
        <v>0</v>
      </c>
      <c r="BA85" s="132">
        <v>1073</v>
      </c>
      <c r="BB85" s="132">
        <v>936</v>
      </c>
      <c r="BC85" s="132">
        <v>1073</v>
      </c>
      <c r="BD85" s="132">
        <v>122</v>
      </c>
      <c r="BE85" s="132">
        <v>15</v>
      </c>
      <c r="BF85" s="132">
        <v>0</v>
      </c>
      <c r="BG85" s="132">
        <v>595</v>
      </c>
      <c r="BH85" s="132">
        <v>176</v>
      </c>
      <c r="BI85" s="134">
        <v>8</v>
      </c>
      <c r="BJ85" s="134">
        <v>184</v>
      </c>
      <c r="BK85" s="134">
        <v>267</v>
      </c>
      <c r="BL85" s="134">
        <v>127</v>
      </c>
      <c r="BM85" s="134">
        <v>933</v>
      </c>
      <c r="BN85" s="134">
        <v>730</v>
      </c>
      <c r="BO85" s="134">
        <v>203</v>
      </c>
      <c r="BP85" s="134">
        <v>0</v>
      </c>
      <c r="BQ85" s="134">
        <v>1060</v>
      </c>
      <c r="BR85" s="135">
        <v>6.4568805957300413E-2</v>
      </c>
      <c r="BS85" s="136">
        <v>54.921999999999997</v>
      </c>
      <c r="BT85" s="136">
        <v>51.921999999999997</v>
      </c>
      <c r="BU85" s="136">
        <v>51.153999999999996</v>
      </c>
      <c r="BV85" s="136">
        <v>56.154000000000003</v>
      </c>
      <c r="BW85" s="137">
        <v>0</v>
      </c>
      <c r="BX85" s="137">
        <v>0</v>
      </c>
      <c r="BY85" s="138">
        <v>0</v>
      </c>
    </row>
    <row r="86" spans="1:77">
      <c r="A86" s="130" t="s">
        <v>493</v>
      </c>
      <c r="B86" s="131" t="s">
        <v>494</v>
      </c>
      <c r="C86" s="132" t="s">
        <v>495</v>
      </c>
      <c r="D86" s="132" t="s">
        <v>143</v>
      </c>
      <c r="E86" s="133">
        <v>818.38333333333333</v>
      </c>
      <c r="F86" s="133">
        <v>405.88333333333333</v>
      </c>
      <c r="G86" s="134">
        <v>79</v>
      </c>
      <c r="H86" s="134">
        <v>660</v>
      </c>
      <c r="I86" s="134">
        <v>288</v>
      </c>
      <c r="J86" s="134">
        <v>535</v>
      </c>
      <c r="K86" s="134">
        <v>1562</v>
      </c>
      <c r="L86" s="134">
        <v>1483</v>
      </c>
      <c r="M86" s="134">
        <v>1027</v>
      </c>
      <c r="N86" s="134">
        <v>351</v>
      </c>
      <c r="O86" s="132">
        <v>60.355555555555554</v>
      </c>
      <c r="P86" s="132">
        <v>58.677777777777777</v>
      </c>
      <c r="Q86" s="132">
        <v>71.916666666666671</v>
      </c>
      <c r="R86" s="132">
        <v>80.8</v>
      </c>
      <c r="S86" s="132">
        <v>86.15</v>
      </c>
      <c r="T86" s="132">
        <v>84.933333333333337</v>
      </c>
      <c r="U86" s="132">
        <v>82.672222222222217</v>
      </c>
      <c r="V86" s="132">
        <v>104.88333333333334</v>
      </c>
      <c r="W86" s="132">
        <v>107.12222222222222</v>
      </c>
      <c r="X86" s="132">
        <v>112.69444444444444</v>
      </c>
      <c r="Y86" s="132">
        <v>112.65555555555555</v>
      </c>
      <c r="Z86" s="132">
        <v>109.92777777777778</v>
      </c>
      <c r="AA86" s="132">
        <v>95.455555555555549</v>
      </c>
      <c r="AB86" s="132">
        <v>465.15000000000003</v>
      </c>
      <c r="AC86" s="132">
        <v>212.00555555555556</v>
      </c>
      <c r="AD86" s="132">
        <v>430.73333333333335</v>
      </c>
      <c r="AE86" s="132">
        <v>737.51111111111106</v>
      </c>
      <c r="AF86" s="132">
        <v>1107.8888888888891</v>
      </c>
      <c r="AG86" s="132">
        <v>1168.2444444444443</v>
      </c>
      <c r="AH86" s="133">
        <v>896.13333333333333</v>
      </c>
      <c r="AI86" s="133">
        <v>373.53888888888889</v>
      </c>
      <c r="AJ86" s="133">
        <v>1269.6722222222222</v>
      </c>
      <c r="AK86" s="134">
        <v>74</v>
      </c>
      <c r="AL86" s="139">
        <v>90</v>
      </c>
      <c r="AM86" s="132">
        <v>103</v>
      </c>
      <c r="AN86" s="132">
        <v>122</v>
      </c>
      <c r="AO86" s="132">
        <v>115</v>
      </c>
      <c r="AP86" s="132">
        <v>118</v>
      </c>
      <c r="AQ86" s="132">
        <v>118</v>
      </c>
      <c r="AR86" s="132">
        <v>129</v>
      </c>
      <c r="AS86" s="132">
        <v>145</v>
      </c>
      <c r="AT86" s="132">
        <v>148</v>
      </c>
      <c r="AU86" s="132">
        <v>146</v>
      </c>
      <c r="AV86" s="132">
        <v>136</v>
      </c>
      <c r="AW86" s="132">
        <v>131</v>
      </c>
      <c r="AX86" s="132">
        <v>666</v>
      </c>
      <c r="AY86" s="132">
        <v>274</v>
      </c>
      <c r="AZ86" s="132">
        <v>561</v>
      </c>
      <c r="BA86" s="132">
        <v>1014</v>
      </c>
      <c r="BB86" s="132">
        <v>1501</v>
      </c>
      <c r="BC86" s="132">
        <v>1575</v>
      </c>
      <c r="BD86" s="132">
        <v>74</v>
      </c>
      <c r="BE86" s="132">
        <v>0</v>
      </c>
      <c r="BF86" s="132">
        <v>0</v>
      </c>
      <c r="BG86" s="132">
        <v>362</v>
      </c>
      <c r="BH86" s="132">
        <v>859</v>
      </c>
      <c r="BI86" s="134">
        <v>358</v>
      </c>
      <c r="BJ86" s="134">
        <v>1217</v>
      </c>
      <c r="BK86" s="134">
        <v>26</v>
      </c>
      <c r="BL86" s="134">
        <v>77</v>
      </c>
      <c r="BM86" s="134">
        <v>1473</v>
      </c>
      <c r="BN86" s="134">
        <v>669</v>
      </c>
      <c r="BO86" s="134">
        <v>273</v>
      </c>
      <c r="BP86" s="134">
        <v>531</v>
      </c>
      <c r="BQ86" s="134">
        <v>1550</v>
      </c>
      <c r="BR86" s="135">
        <v>6.387132300696291E-2</v>
      </c>
      <c r="BS86" s="136">
        <v>189.98300000000003</v>
      </c>
      <c r="BT86" s="136">
        <v>180.98300000000003</v>
      </c>
      <c r="BU86" s="136">
        <v>154.92200000000003</v>
      </c>
      <c r="BV86" s="136">
        <v>194.01000000000002</v>
      </c>
      <c r="BW86" s="137">
        <v>0</v>
      </c>
      <c r="BX86" s="137">
        <v>0</v>
      </c>
      <c r="BY86" s="138">
        <v>0</v>
      </c>
    </row>
    <row r="87" spans="1:77">
      <c r="A87" s="130" t="s">
        <v>496</v>
      </c>
      <c r="B87" s="131" t="s">
        <v>497</v>
      </c>
      <c r="C87" s="132" t="s">
        <v>498</v>
      </c>
      <c r="D87" s="132" t="s">
        <v>143</v>
      </c>
      <c r="E87" s="133">
        <v>41.116666666666667</v>
      </c>
      <c r="F87" s="133">
        <v>4.822222222222222</v>
      </c>
      <c r="G87" s="134">
        <v>59</v>
      </c>
      <c r="H87" s="134">
        <v>232</v>
      </c>
      <c r="I87" s="134">
        <v>0</v>
      </c>
      <c r="J87" s="134">
        <v>0</v>
      </c>
      <c r="K87" s="134">
        <v>291</v>
      </c>
      <c r="L87" s="134">
        <v>232</v>
      </c>
      <c r="M87" s="134">
        <v>291</v>
      </c>
      <c r="N87" s="134">
        <v>5</v>
      </c>
      <c r="O87" s="132">
        <v>61.355555555555554</v>
      </c>
      <c r="P87" s="132">
        <v>45.555555555555557</v>
      </c>
      <c r="Q87" s="132">
        <v>45.37777777777778</v>
      </c>
      <c r="R87" s="132">
        <v>45.172222222222224</v>
      </c>
      <c r="S87" s="132">
        <v>36.644444444444446</v>
      </c>
      <c r="T87" s="132">
        <v>29.394444444444446</v>
      </c>
      <c r="U87" s="132">
        <v>21.983333333333334</v>
      </c>
      <c r="V87" s="132">
        <v>0</v>
      </c>
      <c r="W87" s="132">
        <v>0</v>
      </c>
      <c r="X87" s="132">
        <v>0</v>
      </c>
      <c r="Y87" s="132">
        <v>0</v>
      </c>
      <c r="Z87" s="132">
        <v>0</v>
      </c>
      <c r="AA87" s="132">
        <v>0</v>
      </c>
      <c r="AB87" s="132">
        <v>224.12777777777779</v>
      </c>
      <c r="AC87" s="132">
        <v>0</v>
      </c>
      <c r="AD87" s="132">
        <v>0</v>
      </c>
      <c r="AE87" s="132">
        <v>285.48333333333335</v>
      </c>
      <c r="AF87" s="132">
        <v>224.12777777777779</v>
      </c>
      <c r="AG87" s="132">
        <v>285.48333333333335</v>
      </c>
      <c r="AH87" s="133">
        <v>40.9</v>
      </c>
      <c r="AI87" s="133">
        <v>5.4888888888888889</v>
      </c>
      <c r="AJ87" s="133">
        <v>46.388888888888886</v>
      </c>
      <c r="AK87" s="134">
        <v>41</v>
      </c>
      <c r="AL87" s="139">
        <v>45</v>
      </c>
      <c r="AM87" s="132">
        <v>38</v>
      </c>
      <c r="AN87" s="132">
        <v>38</v>
      </c>
      <c r="AO87" s="132">
        <v>32</v>
      </c>
      <c r="AP87" s="132">
        <v>29</v>
      </c>
      <c r="AQ87" s="132">
        <v>22</v>
      </c>
      <c r="AR87" s="132">
        <v>0</v>
      </c>
      <c r="AS87" s="132">
        <v>0</v>
      </c>
      <c r="AT87" s="132">
        <v>0</v>
      </c>
      <c r="AU87" s="132">
        <v>0</v>
      </c>
      <c r="AV87" s="132">
        <v>0</v>
      </c>
      <c r="AW87" s="132">
        <v>0</v>
      </c>
      <c r="AX87" s="132">
        <v>204</v>
      </c>
      <c r="AY87" s="132">
        <v>0</v>
      </c>
      <c r="AZ87" s="132">
        <v>0</v>
      </c>
      <c r="BA87" s="132">
        <v>245</v>
      </c>
      <c r="BB87" s="132">
        <v>204</v>
      </c>
      <c r="BC87" s="132">
        <v>245</v>
      </c>
      <c r="BD87" s="132">
        <v>41</v>
      </c>
      <c r="BE87" s="132">
        <v>0</v>
      </c>
      <c r="BF87" s="132">
        <v>0</v>
      </c>
      <c r="BG87" s="132">
        <v>146</v>
      </c>
      <c r="BH87" s="132">
        <v>28</v>
      </c>
      <c r="BI87" s="134">
        <v>6</v>
      </c>
      <c r="BJ87" s="134">
        <v>34</v>
      </c>
      <c r="BK87" s="134">
        <v>80</v>
      </c>
      <c r="BL87" s="134">
        <v>41</v>
      </c>
      <c r="BM87" s="134">
        <v>204</v>
      </c>
      <c r="BN87" s="134">
        <v>204</v>
      </c>
      <c r="BO87" s="134">
        <v>0</v>
      </c>
      <c r="BP87" s="134">
        <v>0</v>
      </c>
      <c r="BQ87" s="134">
        <v>245</v>
      </c>
      <c r="BR87" s="135">
        <v>6.9117647058823506E-2</v>
      </c>
      <c r="BS87" s="136">
        <v>10.5</v>
      </c>
      <c r="BT87" s="136">
        <v>10.5</v>
      </c>
      <c r="BU87" s="136">
        <v>10.5</v>
      </c>
      <c r="BV87" s="136">
        <v>10.5</v>
      </c>
      <c r="BW87" s="137">
        <v>0</v>
      </c>
      <c r="BX87" s="137">
        <v>0</v>
      </c>
      <c r="BY87" s="138">
        <v>0</v>
      </c>
    </row>
    <row r="88" spans="1:77">
      <c r="A88" s="130" t="s">
        <v>499</v>
      </c>
      <c r="B88" s="131" t="s">
        <v>500</v>
      </c>
      <c r="C88" s="132" t="s">
        <v>501</v>
      </c>
      <c r="D88" s="132" t="s">
        <v>143</v>
      </c>
      <c r="E88" s="133">
        <v>143.07777777777778</v>
      </c>
      <c r="F88" s="133">
        <v>0</v>
      </c>
      <c r="G88" s="134">
        <v>40</v>
      </c>
      <c r="H88" s="134">
        <v>279</v>
      </c>
      <c r="I88" s="134">
        <v>125</v>
      </c>
      <c r="J88" s="134">
        <v>334</v>
      </c>
      <c r="K88" s="134">
        <v>778</v>
      </c>
      <c r="L88" s="134">
        <v>738</v>
      </c>
      <c r="M88" s="134">
        <v>444</v>
      </c>
      <c r="N88" s="134">
        <v>0</v>
      </c>
      <c r="O88" s="132">
        <v>38.494444444444447</v>
      </c>
      <c r="P88" s="132">
        <v>48.422222222222224</v>
      </c>
      <c r="Q88" s="132">
        <v>47.305555555555557</v>
      </c>
      <c r="R88" s="132">
        <v>41.794444444444444</v>
      </c>
      <c r="S88" s="132">
        <v>46.211111111111109</v>
      </c>
      <c r="T88" s="132">
        <v>46.37777777777778</v>
      </c>
      <c r="U88" s="132">
        <v>50.227777777777774</v>
      </c>
      <c r="V88" s="132">
        <v>63.555555555555557</v>
      </c>
      <c r="W88" s="132">
        <v>60.366666666666667</v>
      </c>
      <c r="X88" s="132">
        <v>93.072222222222223</v>
      </c>
      <c r="Y88" s="132">
        <v>91.022222222222226</v>
      </c>
      <c r="Z88" s="132">
        <v>75.12777777777778</v>
      </c>
      <c r="AA88" s="132">
        <v>70</v>
      </c>
      <c r="AB88" s="132">
        <v>280.3388888888889</v>
      </c>
      <c r="AC88" s="132">
        <v>123.92222222222222</v>
      </c>
      <c r="AD88" s="132">
        <v>329.22222222222223</v>
      </c>
      <c r="AE88" s="132">
        <v>442.75555555555553</v>
      </c>
      <c r="AF88" s="132">
        <v>733.48333333333335</v>
      </c>
      <c r="AG88" s="132">
        <v>771.97777777777776</v>
      </c>
      <c r="AH88" s="133">
        <v>162.17777777777778</v>
      </c>
      <c r="AI88" s="133">
        <v>0.4</v>
      </c>
      <c r="AJ88" s="133">
        <v>162.57777777777778</v>
      </c>
      <c r="AK88" s="134">
        <v>38</v>
      </c>
      <c r="AL88" s="139">
        <v>42</v>
      </c>
      <c r="AM88" s="132">
        <v>42</v>
      </c>
      <c r="AN88" s="132">
        <v>51</v>
      </c>
      <c r="AO88" s="132">
        <v>47</v>
      </c>
      <c r="AP88" s="132">
        <v>50</v>
      </c>
      <c r="AQ88" s="132">
        <v>58</v>
      </c>
      <c r="AR88" s="132">
        <v>62</v>
      </c>
      <c r="AS88" s="132">
        <v>61</v>
      </c>
      <c r="AT88" s="132">
        <v>103</v>
      </c>
      <c r="AU88" s="132">
        <v>99</v>
      </c>
      <c r="AV88" s="132">
        <v>86</v>
      </c>
      <c r="AW88" s="132">
        <v>65</v>
      </c>
      <c r="AX88" s="132">
        <v>290</v>
      </c>
      <c r="AY88" s="132">
        <v>123</v>
      </c>
      <c r="AZ88" s="132">
        <v>353</v>
      </c>
      <c r="BA88" s="132">
        <v>451</v>
      </c>
      <c r="BB88" s="132">
        <v>766</v>
      </c>
      <c r="BC88" s="132">
        <v>804</v>
      </c>
      <c r="BD88" s="132">
        <v>0</v>
      </c>
      <c r="BE88" s="132">
        <v>38</v>
      </c>
      <c r="BF88" s="132">
        <v>1</v>
      </c>
      <c r="BG88" s="132">
        <v>191</v>
      </c>
      <c r="BH88" s="132">
        <v>177</v>
      </c>
      <c r="BI88" s="134">
        <v>2</v>
      </c>
      <c r="BJ88" s="134">
        <v>179</v>
      </c>
      <c r="BK88" s="134">
        <v>21</v>
      </c>
      <c r="BL88" s="134">
        <v>44</v>
      </c>
      <c r="BM88" s="134">
        <v>756</v>
      </c>
      <c r="BN88" s="134">
        <v>286</v>
      </c>
      <c r="BO88" s="134">
        <v>121</v>
      </c>
      <c r="BP88" s="134">
        <v>349</v>
      </c>
      <c r="BQ88" s="134">
        <v>800</v>
      </c>
      <c r="BR88" s="135">
        <v>7.5247767370943242E-2</v>
      </c>
      <c r="BS88" s="136">
        <v>46.250000000000007</v>
      </c>
      <c r="BT88" s="136">
        <v>42.250000000000007</v>
      </c>
      <c r="BU88" s="136">
        <v>41.95</v>
      </c>
      <c r="BV88" s="136">
        <v>48.949999999999996</v>
      </c>
      <c r="BW88" s="137">
        <v>0</v>
      </c>
      <c r="BX88" s="137">
        <v>0</v>
      </c>
      <c r="BY88" s="138">
        <v>0</v>
      </c>
    </row>
    <row r="89" spans="1:77">
      <c r="A89" s="130" t="s">
        <v>502</v>
      </c>
      <c r="B89" s="131" t="s">
        <v>503</v>
      </c>
      <c r="C89" s="132" t="s">
        <v>504</v>
      </c>
      <c r="D89" s="132" t="s">
        <v>143</v>
      </c>
      <c r="E89" s="133">
        <v>22.988888888888887</v>
      </c>
      <c r="F89" s="133">
        <v>1</v>
      </c>
      <c r="G89" s="134">
        <v>20</v>
      </c>
      <c r="H89" s="134">
        <v>125</v>
      </c>
      <c r="I89" s="134">
        <v>25</v>
      </c>
      <c r="J89" s="134">
        <v>0</v>
      </c>
      <c r="K89" s="134">
        <v>170</v>
      </c>
      <c r="L89" s="134">
        <v>150</v>
      </c>
      <c r="M89" s="134">
        <v>170</v>
      </c>
      <c r="N89" s="134">
        <v>1</v>
      </c>
      <c r="O89" s="132">
        <v>18.816666666666666</v>
      </c>
      <c r="P89" s="132">
        <v>19.633333333333333</v>
      </c>
      <c r="Q89" s="132">
        <v>20.144444444444446</v>
      </c>
      <c r="R89" s="132">
        <v>21</v>
      </c>
      <c r="S89" s="132">
        <v>21</v>
      </c>
      <c r="T89" s="132">
        <v>20.827777777777779</v>
      </c>
      <c r="U89" s="132">
        <v>19.977777777777778</v>
      </c>
      <c r="V89" s="132">
        <v>12.644444444444444</v>
      </c>
      <c r="W89" s="132">
        <v>9.9111111111111114</v>
      </c>
      <c r="X89" s="132">
        <v>0</v>
      </c>
      <c r="Y89" s="132">
        <v>0</v>
      </c>
      <c r="Z89" s="132">
        <v>0</v>
      </c>
      <c r="AA89" s="132">
        <v>0</v>
      </c>
      <c r="AB89" s="132">
        <v>122.58333333333333</v>
      </c>
      <c r="AC89" s="132">
        <v>22.555555555555557</v>
      </c>
      <c r="AD89" s="132">
        <v>0</v>
      </c>
      <c r="AE89" s="132">
        <v>163.95555555555558</v>
      </c>
      <c r="AF89" s="132">
        <v>145.13888888888886</v>
      </c>
      <c r="AG89" s="132">
        <v>163.95555555555558</v>
      </c>
      <c r="AH89" s="133">
        <v>29.066666666666666</v>
      </c>
      <c r="AI89" s="133">
        <v>0.33888888888888891</v>
      </c>
      <c r="AJ89" s="133">
        <v>29.405555555555555</v>
      </c>
      <c r="AK89" s="134">
        <v>19</v>
      </c>
      <c r="AL89" s="139">
        <v>15</v>
      </c>
      <c r="AM89" s="132">
        <v>19</v>
      </c>
      <c r="AN89" s="132">
        <v>19</v>
      </c>
      <c r="AO89" s="132">
        <v>20</v>
      </c>
      <c r="AP89" s="132">
        <v>20</v>
      </c>
      <c r="AQ89" s="132">
        <v>20</v>
      </c>
      <c r="AR89" s="132">
        <v>20</v>
      </c>
      <c r="AS89" s="132">
        <v>14</v>
      </c>
      <c r="AT89" s="132">
        <v>0</v>
      </c>
      <c r="AU89" s="132">
        <v>0</v>
      </c>
      <c r="AV89" s="132">
        <v>0</v>
      </c>
      <c r="AW89" s="132">
        <v>0</v>
      </c>
      <c r="AX89" s="132">
        <v>113</v>
      </c>
      <c r="AY89" s="132">
        <v>34</v>
      </c>
      <c r="AZ89" s="132">
        <v>0</v>
      </c>
      <c r="BA89" s="132">
        <v>166</v>
      </c>
      <c r="BB89" s="132">
        <v>147</v>
      </c>
      <c r="BC89" s="132">
        <v>166</v>
      </c>
      <c r="BD89" s="132">
        <v>19</v>
      </c>
      <c r="BE89" s="132">
        <v>0</v>
      </c>
      <c r="BF89" s="132">
        <v>0</v>
      </c>
      <c r="BG89" s="132">
        <v>31</v>
      </c>
      <c r="BH89" s="132">
        <v>33</v>
      </c>
      <c r="BI89" s="134">
        <v>2</v>
      </c>
      <c r="BJ89" s="134">
        <v>35</v>
      </c>
      <c r="BK89" s="134">
        <v>6</v>
      </c>
      <c r="BL89" s="134">
        <v>20</v>
      </c>
      <c r="BM89" s="134">
        <v>150</v>
      </c>
      <c r="BN89" s="134">
        <v>125</v>
      </c>
      <c r="BO89" s="134">
        <v>25</v>
      </c>
      <c r="BP89" s="134">
        <v>0</v>
      </c>
      <c r="BQ89" s="134">
        <v>170</v>
      </c>
      <c r="BR89" s="135">
        <v>5.9722222222222232E-2</v>
      </c>
      <c r="BS89" s="136">
        <v>7.65</v>
      </c>
      <c r="BT89" s="136">
        <v>7.65</v>
      </c>
      <c r="BU89" s="136">
        <v>6.25</v>
      </c>
      <c r="BV89" s="136">
        <v>8.65</v>
      </c>
      <c r="BW89" s="137">
        <v>0</v>
      </c>
      <c r="BX89" s="137">
        <v>0</v>
      </c>
      <c r="BY89" s="138">
        <v>0</v>
      </c>
    </row>
    <row r="90" spans="1:77">
      <c r="A90" s="130" t="s">
        <v>505</v>
      </c>
      <c r="B90" s="131" t="s">
        <v>506</v>
      </c>
      <c r="C90" s="132" t="s">
        <v>507</v>
      </c>
      <c r="D90" s="132" t="s">
        <v>143</v>
      </c>
      <c r="E90" s="133">
        <v>40.222222222222221</v>
      </c>
      <c r="F90" s="133">
        <v>9.7055555555555557</v>
      </c>
      <c r="G90" s="134">
        <v>47</v>
      </c>
      <c r="H90" s="134">
        <v>244</v>
      </c>
      <c r="I90" s="134">
        <v>0</v>
      </c>
      <c r="J90" s="134">
        <v>0</v>
      </c>
      <c r="K90" s="134">
        <v>291</v>
      </c>
      <c r="L90" s="134">
        <v>244</v>
      </c>
      <c r="M90" s="134">
        <v>291</v>
      </c>
      <c r="N90" s="134">
        <v>6</v>
      </c>
      <c r="O90" s="132">
        <v>45.766666666666666</v>
      </c>
      <c r="P90" s="132">
        <v>37.894444444444446</v>
      </c>
      <c r="Q90" s="132">
        <v>33.677777777777777</v>
      </c>
      <c r="R90" s="132">
        <v>44.494444444444447</v>
      </c>
      <c r="S90" s="132">
        <v>38.572222222222223</v>
      </c>
      <c r="T90" s="132">
        <v>32.216666666666669</v>
      </c>
      <c r="U90" s="132">
        <v>37.505555555555553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224.36111111111111</v>
      </c>
      <c r="AC90" s="132">
        <v>0</v>
      </c>
      <c r="AD90" s="132">
        <v>0</v>
      </c>
      <c r="AE90" s="132">
        <v>270.12777777777779</v>
      </c>
      <c r="AF90" s="132">
        <v>224.36111111111111</v>
      </c>
      <c r="AG90" s="132">
        <v>270.12777777777779</v>
      </c>
      <c r="AH90" s="133">
        <v>28.866666666666667</v>
      </c>
      <c r="AI90" s="133">
        <v>5.7388888888888889</v>
      </c>
      <c r="AJ90" s="133">
        <v>34.605555555555554</v>
      </c>
      <c r="AK90" s="134">
        <v>33</v>
      </c>
      <c r="AL90" s="139">
        <v>51</v>
      </c>
      <c r="AM90" s="132">
        <v>32</v>
      </c>
      <c r="AN90" s="132">
        <v>33</v>
      </c>
      <c r="AO90" s="132">
        <v>42</v>
      </c>
      <c r="AP90" s="132">
        <v>41</v>
      </c>
      <c r="AQ90" s="132">
        <v>33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232</v>
      </c>
      <c r="AY90" s="132">
        <v>0</v>
      </c>
      <c r="AZ90" s="132">
        <v>0</v>
      </c>
      <c r="BA90" s="132">
        <v>265</v>
      </c>
      <c r="BB90" s="132">
        <v>232</v>
      </c>
      <c r="BC90" s="132">
        <v>265</v>
      </c>
      <c r="BD90" s="132">
        <v>33</v>
      </c>
      <c r="BE90" s="132">
        <v>0</v>
      </c>
      <c r="BF90" s="132">
        <v>0</v>
      </c>
      <c r="BG90" s="132">
        <v>114</v>
      </c>
      <c r="BH90" s="132">
        <v>24</v>
      </c>
      <c r="BI90" s="134">
        <v>4</v>
      </c>
      <c r="BJ90" s="134">
        <v>28</v>
      </c>
      <c r="BK90" s="134">
        <v>67</v>
      </c>
      <c r="BL90" s="134">
        <v>35</v>
      </c>
      <c r="BM90" s="134">
        <v>230</v>
      </c>
      <c r="BN90" s="134">
        <v>230</v>
      </c>
      <c r="BO90" s="134">
        <v>0</v>
      </c>
      <c r="BP90" s="134">
        <v>0</v>
      </c>
      <c r="BQ90" s="134">
        <v>265</v>
      </c>
      <c r="BR90" s="135">
        <v>7.0833333333333359E-2</v>
      </c>
      <c r="BS90" s="136">
        <v>21</v>
      </c>
      <c r="BT90" s="136">
        <v>19</v>
      </c>
      <c r="BU90" s="136">
        <v>19</v>
      </c>
      <c r="BV90" s="136">
        <v>21</v>
      </c>
      <c r="BW90" s="137">
        <v>0</v>
      </c>
      <c r="BX90" s="137">
        <v>0</v>
      </c>
      <c r="BY90" s="138">
        <v>0</v>
      </c>
    </row>
    <row r="91" spans="1:77">
      <c r="A91" s="130" t="s">
        <v>508</v>
      </c>
      <c r="B91" s="131" t="s">
        <v>509</v>
      </c>
      <c r="C91" s="132" t="s">
        <v>510</v>
      </c>
      <c r="D91" s="132" t="s">
        <v>143</v>
      </c>
      <c r="E91" s="133">
        <v>92.911111111111111</v>
      </c>
      <c r="F91" s="133">
        <v>8.5333333333333332</v>
      </c>
      <c r="G91" s="134">
        <v>150</v>
      </c>
      <c r="H91" s="134">
        <v>715</v>
      </c>
      <c r="I91" s="134">
        <v>0</v>
      </c>
      <c r="J91" s="134">
        <v>0</v>
      </c>
      <c r="K91" s="134">
        <v>865</v>
      </c>
      <c r="L91" s="134">
        <v>715</v>
      </c>
      <c r="M91" s="134">
        <v>865</v>
      </c>
      <c r="N91" s="134">
        <v>8</v>
      </c>
      <c r="O91" s="132">
        <v>147.96666666666667</v>
      </c>
      <c r="P91" s="132">
        <v>139.63333333333333</v>
      </c>
      <c r="Q91" s="132">
        <v>123.3</v>
      </c>
      <c r="R91" s="132">
        <v>130.79444444444445</v>
      </c>
      <c r="S91" s="132">
        <v>106.46666666666667</v>
      </c>
      <c r="T91" s="132">
        <v>122.54444444444445</v>
      </c>
      <c r="U91" s="132">
        <v>82.62777777777778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705.36666666666667</v>
      </c>
      <c r="AC91" s="132">
        <v>0</v>
      </c>
      <c r="AD91" s="132">
        <v>0</v>
      </c>
      <c r="AE91" s="132">
        <v>853.33333333333337</v>
      </c>
      <c r="AF91" s="132">
        <v>705.36666666666667</v>
      </c>
      <c r="AG91" s="132">
        <v>853.33333333333337</v>
      </c>
      <c r="AH91" s="133">
        <v>95.37222222222222</v>
      </c>
      <c r="AI91" s="133">
        <v>9.0777777777777775</v>
      </c>
      <c r="AJ91" s="133">
        <v>104.45</v>
      </c>
      <c r="AK91" s="134">
        <v>128</v>
      </c>
      <c r="AL91" s="139">
        <v>151</v>
      </c>
      <c r="AM91" s="132">
        <v>137</v>
      </c>
      <c r="AN91" s="132">
        <v>121</v>
      </c>
      <c r="AO91" s="132">
        <v>131</v>
      </c>
      <c r="AP91" s="132">
        <v>112</v>
      </c>
      <c r="AQ91" s="132">
        <v>118</v>
      </c>
      <c r="AR91" s="132">
        <v>0</v>
      </c>
      <c r="AS91" s="132">
        <v>0</v>
      </c>
      <c r="AT91" s="132">
        <v>0</v>
      </c>
      <c r="AU91" s="132">
        <v>0</v>
      </c>
      <c r="AV91" s="132">
        <v>0</v>
      </c>
      <c r="AW91" s="132">
        <v>0</v>
      </c>
      <c r="AX91" s="132">
        <v>770</v>
      </c>
      <c r="AY91" s="132">
        <v>0</v>
      </c>
      <c r="AZ91" s="132">
        <v>0</v>
      </c>
      <c r="BA91" s="132">
        <v>898</v>
      </c>
      <c r="BB91" s="132">
        <v>770</v>
      </c>
      <c r="BC91" s="132">
        <v>898</v>
      </c>
      <c r="BD91" s="132">
        <v>51</v>
      </c>
      <c r="BE91" s="132">
        <v>77</v>
      </c>
      <c r="BF91" s="132">
        <v>0</v>
      </c>
      <c r="BG91" s="132">
        <v>357</v>
      </c>
      <c r="BH91" s="132">
        <v>102</v>
      </c>
      <c r="BI91" s="134">
        <v>12</v>
      </c>
      <c r="BJ91" s="134">
        <v>114</v>
      </c>
      <c r="BK91" s="134">
        <v>65</v>
      </c>
      <c r="BL91" s="134">
        <v>149</v>
      </c>
      <c r="BM91" s="134">
        <v>731</v>
      </c>
      <c r="BN91" s="134">
        <v>731</v>
      </c>
      <c r="BO91" s="134">
        <v>0</v>
      </c>
      <c r="BP91" s="134">
        <v>0</v>
      </c>
      <c r="BQ91" s="134">
        <v>880</v>
      </c>
      <c r="BR91" s="135">
        <v>6.3278230403470248E-2</v>
      </c>
      <c r="BS91" s="136">
        <v>52.651000000000003</v>
      </c>
      <c r="BT91" s="136">
        <v>48.901000000000003</v>
      </c>
      <c r="BU91" s="136">
        <v>47.876000000000005</v>
      </c>
      <c r="BV91" s="136">
        <v>52.651000000000003</v>
      </c>
      <c r="BW91" s="137">
        <v>0</v>
      </c>
      <c r="BX91" s="137">
        <v>0</v>
      </c>
      <c r="BY91" s="138">
        <v>0</v>
      </c>
    </row>
    <row r="92" spans="1:77">
      <c r="A92" s="130" t="s">
        <v>511</v>
      </c>
      <c r="B92" s="131" t="s">
        <v>512</v>
      </c>
      <c r="C92" s="132" t="s">
        <v>513</v>
      </c>
      <c r="D92" s="132" t="s">
        <v>143</v>
      </c>
      <c r="E92" s="133">
        <v>49.31666666666667</v>
      </c>
      <c r="F92" s="133">
        <v>5.0611111111111109</v>
      </c>
      <c r="G92" s="134">
        <v>46</v>
      </c>
      <c r="H92" s="134">
        <v>170</v>
      </c>
      <c r="I92" s="134">
        <v>11</v>
      </c>
      <c r="J92" s="134">
        <v>0</v>
      </c>
      <c r="K92" s="134">
        <v>227</v>
      </c>
      <c r="L92" s="134">
        <v>181</v>
      </c>
      <c r="M92" s="134">
        <v>227</v>
      </c>
      <c r="N92" s="134">
        <v>4</v>
      </c>
      <c r="O92" s="132">
        <v>45.305555555555557</v>
      </c>
      <c r="P92" s="132">
        <v>37.427777777777777</v>
      </c>
      <c r="Q92" s="132">
        <v>35.755555555555553</v>
      </c>
      <c r="R92" s="132">
        <v>26.516666666666666</v>
      </c>
      <c r="S92" s="132">
        <v>24.905555555555555</v>
      </c>
      <c r="T92" s="132">
        <v>22.577777777777779</v>
      </c>
      <c r="U92" s="132">
        <v>18.844444444444445</v>
      </c>
      <c r="V92" s="132">
        <v>10.883333333333333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166.02777777777777</v>
      </c>
      <c r="AC92" s="132">
        <v>10.883333333333333</v>
      </c>
      <c r="AD92" s="132">
        <v>0</v>
      </c>
      <c r="AE92" s="132">
        <v>222.21666666666664</v>
      </c>
      <c r="AF92" s="132">
        <v>176.9111111111111</v>
      </c>
      <c r="AG92" s="132">
        <v>222.21666666666664</v>
      </c>
      <c r="AH92" s="133">
        <v>47.1</v>
      </c>
      <c r="AI92" s="133">
        <v>4</v>
      </c>
      <c r="AJ92" s="133">
        <v>51.1</v>
      </c>
      <c r="AK92" s="134">
        <v>41</v>
      </c>
      <c r="AL92" s="139">
        <v>38</v>
      </c>
      <c r="AM92" s="132">
        <v>38</v>
      </c>
      <c r="AN92" s="132">
        <v>35</v>
      </c>
      <c r="AO92" s="132">
        <v>23</v>
      </c>
      <c r="AP92" s="132">
        <v>21</v>
      </c>
      <c r="AQ92" s="132">
        <v>19</v>
      </c>
      <c r="AR92" s="132">
        <v>17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174</v>
      </c>
      <c r="AY92" s="132">
        <v>17</v>
      </c>
      <c r="AZ92" s="132">
        <v>0</v>
      </c>
      <c r="BA92" s="132">
        <v>232</v>
      </c>
      <c r="BB92" s="132">
        <v>191</v>
      </c>
      <c r="BC92" s="132">
        <v>232</v>
      </c>
      <c r="BD92" s="132">
        <v>41</v>
      </c>
      <c r="BE92" s="132">
        <v>0</v>
      </c>
      <c r="BF92" s="132">
        <v>0</v>
      </c>
      <c r="BG92" s="132">
        <v>129</v>
      </c>
      <c r="BH92" s="132">
        <v>45</v>
      </c>
      <c r="BI92" s="134">
        <v>4</v>
      </c>
      <c r="BJ92" s="134">
        <v>49</v>
      </c>
      <c r="BK92" s="134">
        <v>10</v>
      </c>
      <c r="BL92" s="134">
        <v>47</v>
      </c>
      <c r="BM92" s="134">
        <v>183</v>
      </c>
      <c r="BN92" s="134">
        <v>172</v>
      </c>
      <c r="BO92" s="134">
        <v>11</v>
      </c>
      <c r="BP92" s="134">
        <v>0</v>
      </c>
      <c r="BQ92" s="134">
        <v>230</v>
      </c>
      <c r="BR92" s="135">
        <v>5.6730769230769251E-2</v>
      </c>
      <c r="BS92" s="136">
        <v>14.935</v>
      </c>
      <c r="BT92" s="136">
        <v>13.935</v>
      </c>
      <c r="BU92" s="136">
        <v>13.935</v>
      </c>
      <c r="BV92" s="136">
        <v>14.935</v>
      </c>
      <c r="BW92" s="137">
        <v>0</v>
      </c>
      <c r="BX92" s="137">
        <v>0</v>
      </c>
      <c r="BY92" s="138">
        <v>0</v>
      </c>
    </row>
    <row r="93" spans="1:77">
      <c r="A93" s="130" t="s">
        <v>514</v>
      </c>
      <c r="B93" s="131" t="s">
        <v>515</v>
      </c>
      <c r="C93" s="132" t="s">
        <v>516</v>
      </c>
      <c r="D93" s="132" t="s">
        <v>143</v>
      </c>
      <c r="E93" s="133">
        <v>60.866666666666667</v>
      </c>
      <c r="F93" s="133">
        <v>0.97777777777777775</v>
      </c>
      <c r="G93" s="134">
        <v>0</v>
      </c>
      <c r="H93" s="134">
        <v>0</v>
      </c>
      <c r="I93" s="134">
        <v>0</v>
      </c>
      <c r="J93" s="134">
        <v>214</v>
      </c>
      <c r="K93" s="134">
        <v>214</v>
      </c>
      <c r="L93" s="134">
        <v>214</v>
      </c>
      <c r="M93" s="134">
        <v>0</v>
      </c>
      <c r="N93" s="134">
        <v>1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38.405555555555559</v>
      </c>
      <c r="Y93" s="132">
        <v>55.761111111111113</v>
      </c>
      <c r="Z93" s="132">
        <v>49.966666666666669</v>
      </c>
      <c r="AA93" s="132">
        <v>58.427777777777777</v>
      </c>
      <c r="AB93" s="132">
        <v>0</v>
      </c>
      <c r="AC93" s="132">
        <v>0</v>
      </c>
      <c r="AD93" s="132">
        <v>202.5611111111111</v>
      </c>
      <c r="AE93" s="132">
        <v>0</v>
      </c>
      <c r="AF93" s="132">
        <v>202.5611111111111</v>
      </c>
      <c r="AG93" s="132">
        <v>202.5611111111111</v>
      </c>
      <c r="AH93" s="133">
        <v>62.016666666666666</v>
      </c>
      <c r="AI93" s="133">
        <v>0</v>
      </c>
      <c r="AJ93" s="133">
        <v>62.016666666666666</v>
      </c>
      <c r="AK93" s="134">
        <v>0</v>
      </c>
      <c r="AL93" s="139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36</v>
      </c>
      <c r="AU93" s="132">
        <v>59</v>
      </c>
      <c r="AV93" s="132">
        <v>69</v>
      </c>
      <c r="AW93" s="132">
        <v>51</v>
      </c>
      <c r="AX93" s="132">
        <v>0</v>
      </c>
      <c r="AY93" s="132">
        <v>0</v>
      </c>
      <c r="AZ93" s="132">
        <v>215</v>
      </c>
      <c r="BA93" s="132">
        <v>0</v>
      </c>
      <c r="BB93" s="132">
        <v>215</v>
      </c>
      <c r="BC93" s="132">
        <v>215</v>
      </c>
      <c r="BD93" s="132">
        <v>0</v>
      </c>
      <c r="BE93" s="132">
        <v>0</v>
      </c>
      <c r="BF93" s="132">
        <v>0</v>
      </c>
      <c r="BG93" s="132">
        <v>137</v>
      </c>
      <c r="BH93" s="132">
        <v>66</v>
      </c>
      <c r="BI93" s="134">
        <v>0</v>
      </c>
      <c r="BJ93" s="134">
        <v>66</v>
      </c>
      <c r="BK93" s="134">
        <v>17</v>
      </c>
      <c r="BL93" s="134">
        <v>0</v>
      </c>
      <c r="BM93" s="134">
        <v>213</v>
      </c>
      <c r="BN93" s="134">
        <v>0</v>
      </c>
      <c r="BO93" s="134">
        <v>0</v>
      </c>
      <c r="BP93" s="134">
        <v>213</v>
      </c>
      <c r="BQ93" s="134">
        <v>213</v>
      </c>
      <c r="BR93" s="135">
        <v>5.2469358327325133E-2</v>
      </c>
      <c r="BS93" s="136">
        <v>12.3</v>
      </c>
      <c r="BT93" s="136">
        <v>12.3</v>
      </c>
      <c r="BU93" s="136">
        <v>12.3</v>
      </c>
      <c r="BV93" s="136">
        <v>14.3</v>
      </c>
      <c r="BW93" s="137">
        <v>0</v>
      </c>
      <c r="BX93" s="137">
        <v>0</v>
      </c>
      <c r="BY93" s="138">
        <v>0</v>
      </c>
    </row>
    <row r="94" spans="1:77">
      <c r="A94" s="130" t="s">
        <v>517</v>
      </c>
      <c r="B94" s="131" t="s">
        <v>518</v>
      </c>
      <c r="C94" s="132" t="s">
        <v>519</v>
      </c>
      <c r="D94" s="132" t="s">
        <v>143</v>
      </c>
      <c r="E94" s="133">
        <v>30.06111111111111</v>
      </c>
      <c r="F94" s="133">
        <v>1</v>
      </c>
      <c r="G94" s="134">
        <v>0</v>
      </c>
      <c r="H94" s="134">
        <v>30</v>
      </c>
      <c r="I94" s="134">
        <v>131</v>
      </c>
      <c r="J94" s="134">
        <v>310</v>
      </c>
      <c r="K94" s="134">
        <v>471</v>
      </c>
      <c r="L94" s="134">
        <v>471</v>
      </c>
      <c r="M94" s="134">
        <v>161</v>
      </c>
      <c r="N94" s="134">
        <v>1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31.105555555555554</v>
      </c>
      <c r="V94" s="132">
        <v>61.411111111111111</v>
      </c>
      <c r="W94" s="132">
        <v>62.283333333333331</v>
      </c>
      <c r="X94" s="132">
        <v>74.688888888888883</v>
      </c>
      <c r="Y94" s="132">
        <v>74.033333333333331</v>
      </c>
      <c r="Z94" s="132">
        <v>90.2</v>
      </c>
      <c r="AA94" s="132">
        <v>53.294444444444444</v>
      </c>
      <c r="AB94" s="132">
        <v>31.105555555555554</v>
      </c>
      <c r="AC94" s="132">
        <v>123.69444444444444</v>
      </c>
      <c r="AD94" s="132">
        <v>292.21666666666664</v>
      </c>
      <c r="AE94" s="132">
        <v>154.80000000000001</v>
      </c>
      <c r="AF94" s="132">
        <v>447.01666666666665</v>
      </c>
      <c r="AG94" s="132">
        <v>447.01666666666665</v>
      </c>
      <c r="AH94" s="133">
        <v>32.62777777777778</v>
      </c>
      <c r="AI94" s="133">
        <v>0.17777777777777778</v>
      </c>
      <c r="AJ94" s="133">
        <v>32.805555555555557</v>
      </c>
      <c r="AK94" s="134">
        <v>0</v>
      </c>
      <c r="AL94" s="139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30</v>
      </c>
      <c r="AR94" s="132">
        <v>50</v>
      </c>
      <c r="AS94" s="132">
        <v>94</v>
      </c>
      <c r="AT94" s="132">
        <v>89</v>
      </c>
      <c r="AU94" s="132">
        <v>75</v>
      </c>
      <c r="AV94" s="132">
        <v>77</v>
      </c>
      <c r="AW94" s="132">
        <v>78</v>
      </c>
      <c r="AX94" s="132">
        <v>30</v>
      </c>
      <c r="AY94" s="132">
        <v>144</v>
      </c>
      <c r="AZ94" s="132">
        <v>319</v>
      </c>
      <c r="BA94" s="132">
        <v>174</v>
      </c>
      <c r="BB94" s="132">
        <v>493</v>
      </c>
      <c r="BC94" s="132">
        <v>493</v>
      </c>
      <c r="BD94" s="132">
        <v>0</v>
      </c>
      <c r="BE94" s="132">
        <v>0</v>
      </c>
      <c r="BF94" s="132">
        <v>0</v>
      </c>
      <c r="BG94" s="132">
        <v>70</v>
      </c>
      <c r="BH94" s="132">
        <v>42</v>
      </c>
      <c r="BI94" s="134">
        <v>0</v>
      </c>
      <c r="BJ94" s="134">
        <v>42</v>
      </c>
      <c r="BK94" s="134">
        <v>1</v>
      </c>
      <c r="BL94" s="134">
        <v>0</v>
      </c>
      <c r="BM94" s="134">
        <v>471</v>
      </c>
      <c r="BN94" s="134">
        <v>34</v>
      </c>
      <c r="BO94" s="134">
        <v>102</v>
      </c>
      <c r="BP94" s="134">
        <v>335</v>
      </c>
      <c r="BQ94" s="134">
        <v>471</v>
      </c>
      <c r="BR94" s="135">
        <v>5.8453213643891611E-2</v>
      </c>
      <c r="BS94" s="136">
        <v>26.968500000000002</v>
      </c>
      <c r="BT94" s="136">
        <v>26.968500000000002</v>
      </c>
      <c r="BU94" s="136">
        <v>26.593500000000002</v>
      </c>
      <c r="BV94" s="136">
        <v>26.968499999999995</v>
      </c>
      <c r="BW94" s="137">
        <v>383</v>
      </c>
      <c r="BX94" s="137">
        <v>234</v>
      </c>
      <c r="BY94" s="138">
        <v>325.544444</v>
      </c>
    </row>
    <row r="95" spans="1:77">
      <c r="A95" s="130" t="s">
        <v>520</v>
      </c>
      <c r="B95" s="131" t="s">
        <v>521</v>
      </c>
      <c r="C95" s="132" t="s">
        <v>522</v>
      </c>
      <c r="D95" s="132" t="s">
        <v>143</v>
      </c>
      <c r="E95" s="133">
        <v>83.7</v>
      </c>
      <c r="F95" s="133">
        <v>6.7444444444444445</v>
      </c>
      <c r="G95" s="134">
        <v>78</v>
      </c>
      <c r="H95" s="134">
        <v>455</v>
      </c>
      <c r="I95" s="134">
        <v>0</v>
      </c>
      <c r="J95" s="134">
        <v>0</v>
      </c>
      <c r="K95" s="134">
        <v>533</v>
      </c>
      <c r="L95" s="134">
        <v>455</v>
      </c>
      <c r="M95" s="134">
        <v>533</v>
      </c>
      <c r="N95" s="134">
        <v>6</v>
      </c>
      <c r="O95" s="132">
        <v>76.544444444444451</v>
      </c>
      <c r="P95" s="132">
        <v>86.00555555555556</v>
      </c>
      <c r="Q95" s="132">
        <v>86.094444444444449</v>
      </c>
      <c r="R95" s="132">
        <v>78.144444444444446</v>
      </c>
      <c r="S95" s="132">
        <v>79.266666666666666</v>
      </c>
      <c r="T95" s="132">
        <v>53.322222222222223</v>
      </c>
      <c r="U95" s="132">
        <v>55.722222222222221</v>
      </c>
      <c r="V95" s="132">
        <v>0</v>
      </c>
      <c r="W95" s="132">
        <v>0</v>
      </c>
      <c r="X95" s="132">
        <v>0</v>
      </c>
      <c r="Y95" s="132">
        <v>0</v>
      </c>
      <c r="Z95" s="132">
        <v>0</v>
      </c>
      <c r="AA95" s="132">
        <v>0</v>
      </c>
      <c r="AB95" s="132">
        <v>438.5555555555556</v>
      </c>
      <c r="AC95" s="132">
        <v>0</v>
      </c>
      <c r="AD95" s="132">
        <v>0</v>
      </c>
      <c r="AE95" s="132">
        <v>515.09999999999991</v>
      </c>
      <c r="AF95" s="132">
        <v>438.5555555555556</v>
      </c>
      <c r="AG95" s="132">
        <v>515.09999999999991</v>
      </c>
      <c r="AH95" s="133">
        <v>105</v>
      </c>
      <c r="AI95" s="133">
        <v>6.45</v>
      </c>
      <c r="AJ95" s="133">
        <v>111.45</v>
      </c>
      <c r="AK95" s="134">
        <v>78</v>
      </c>
      <c r="AL95" s="139">
        <v>86</v>
      </c>
      <c r="AM95" s="132">
        <v>85</v>
      </c>
      <c r="AN95" s="132">
        <v>90</v>
      </c>
      <c r="AO95" s="132">
        <v>77</v>
      </c>
      <c r="AP95" s="132">
        <v>70</v>
      </c>
      <c r="AQ95" s="132">
        <v>53</v>
      </c>
      <c r="AR95" s="132">
        <v>0</v>
      </c>
      <c r="AS95" s="132">
        <v>0</v>
      </c>
      <c r="AT95" s="132">
        <v>0</v>
      </c>
      <c r="AU95" s="132">
        <v>0</v>
      </c>
      <c r="AV95" s="132">
        <v>0</v>
      </c>
      <c r="AW95" s="132">
        <v>0</v>
      </c>
      <c r="AX95" s="132">
        <v>461</v>
      </c>
      <c r="AY95" s="132">
        <v>0</v>
      </c>
      <c r="AZ95" s="132">
        <v>0</v>
      </c>
      <c r="BA95" s="132">
        <v>539</v>
      </c>
      <c r="BB95" s="132">
        <v>461</v>
      </c>
      <c r="BC95" s="132">
        <v>539</v>
      </c>
      <c r="BD95" s="132">
        <v>78</v>
      </c>
      <c r="BE95" s="132">
        <v>0</v>
      </c>
      <c r="BF95" s="132">
        <v>0</v>
      </c>
      <c r="BG95" s="132">
        <v>222</v>
      </c>
      <c r="BH95" s="132">
        <v>101</v>
      </c>
      <c r="BI95" s="134">
        <v>7</v>
      </c>
      <c r="BJ95" s="134">
        <v>108</v>
      </c>
      <c r="BK95" s="134">
        <v>26</v>
      </c>
      <c r="BL95" s="134">
        <v>76</v>
      </c>
      <c r="BM95" s="134">
        <v>464</v>
      </c>
      <c r="BN95" s="134">
        <v>464</v>
      </c>
      <c r="BO95" s="134">
        <v>0</v>
      </c>
      <c r="BP95" s="134">
        <v>0</v>
      </c>
      <c r="BQ95" s="134">
        <v>540</v>
      </c>
      <c r="BR95" s="135">
        <v>6.8036619579662339E-2</v>
      </c>
      <c r="BS95" s="136">
        <v>25.58</v>
      </c>
      <c r="BT95" s="136">
        <v>24.58</v>
      </c>
      <c r="BU95" s="136">
        <v>24.08</v>
      </c>
      <c r="BV95" s="136">
        <v>25.580000000000002</v>
      </c>
      <c r="BW95" s="137">
        <v>0</v>
      </c>
      <c r="BX95" s="137">
        <v>0</v>
      </c>
      <c r="BY95" s="138">
        <v>0</v>
      </c>
    </row>
    <row r="96" spans="1:77">
      <c r="A96" s="130" t="s">
        <v>523</v>
      </c>
      <c r="B96" s="131" t="s">
        <v>524</v>
      </c>
      <c r="C96" s="132" t="s">
        <v>525</v>
      </c>
      <c r="D96" s="132" t="s">
        <v>143</v>
      </c>
      <c r="E96" s="133">
        <v>62.638888888888886</v>
      </c>
      <c r="F96" s="133">
        <v>0</v>
      </c>
      <c r="G96" s="134">
        <v>52</v>
      </c>
      <c r="H96" s="134">
        <v>433</v>
      </c>
      <c r="I96" s="134">
        <v>0</v>
      </c>
      <c r="J96" s="134">
        <v>0</v>
      </c>
      <c r="K96" s="134">
        <v>485</v>
      </c>
      <c r="L96" s="134">
        <v>433</v>
      </c>
      <c r="M96" s="134">
        <v>485</v>
      </c>
      <c r="N96" s="134">
        <v>0</v>
      </c>
      <c r="O96" s="132">
        <v>50.616666666666667</v>
      </c>
      <c r="P96" s="132">
        <v>67.172222222222217</v>
      </c>
      <c r="Q96" s="132">
        <v>71.816666666666663</v>
      </c>
      <c r="R96" s="132">
        <v>76.405555555555551</v>
      </c>
      <c r="S96" s="132">
        <v>69.416666666666671</v>
      </c>
      <c r="T96" s="132">
        <v>69.944444444444443</v>
      </c>
      <c r="U96" s="132">
        <v>73.305555555555557</v>
      </c>
      <c r="V96" s="132">
        <v>0</v>
      </c>
      <c r="W96" s="132">
        <v>0</v>
      </c>
      <c r="X96" s="132">
        <v>0</v>
      </c>
      <c r="Y96" s="132">
        <v>0</v>
      </c>
      <c r="Z96" s="132">
        <v>0</v>
      </c>
      <c r="AA96" s="132">
        <v>0</v>
      </c>
      <c r="AB96" s="132">
        <v>428.06111111111113</v>
      </c>
      <c r="AC96" s="132">
        <v>0</v>
      </c>
      <c r="AD96" s="132">
        <v>0</v>
      </c>
      <c r="AE96" s="132">
        <v>478.67777777777781</v>
      </c>
      <c r="AF96" s="132">
        <v>428.06111111111113</v>
      </c>
      <c r="AG96" s="132">
        <v>478.67777777777781</v>
      </c>
      <c r="AH96" s="133">
        <v>69.188888888888883</v>
      </c>
      <c r="AI96" s="133">
        <v>0</v>
      </c>
      <c r="AJ96" s="133">
        <v>69.188888888888883</v>
      </c>
      <c r="AK96" s="134">
        <v>60</v>
      </c>
      <c r="AL96" s="139">
        <v>73</v>
      </c>
      <c r="AM96" s="132">
        <v>76</v>
      </c>
      <c r="AN96" s="132">
        <v>75</v>
      </c>
      <c r="AO96" s="132">
        <v>79</v>
      </c>
      <c r="AP96" s="132">
        <v>78</v>
      </c>
      <c r="AQ96" s="132">
        <v>64</v>
      </c>
      <c r="AR96" s="132">
        <v>0</v>
      </c>
      <c r="AS96" s="132">
        <v>0</v>
      </c>
      <c r="AT96" s="132">
        <v>0</v>
      </c>
      <c r="AU96" s="132">
        <v>0</v>
      </c>
      <c r="AV96" s="132">
        <v>0</v>
      </c>
      <c r="AW96" s="132">
        <v>0</v>
      </c>
      <c r="AX96" s="132">
        <v>445</v>
      </c>
      <c r="AY96" s="132">
        <v>0</v>
      </c>
      <c r="AZ96" s="132">
        <v>0</v>
      </c>
      <c r="BA96" s="132">
        <v>505</v>
      </c>
      <c r="BB96" s="132">
        <v>445</v>
      </c>
      <c r="BC96" s="132">
        <v>505</v>
      </c>
      <c r="BD96" s="132">
        <v>30</v>
      </c>
      <c r="BE96" s="132">
        <v>30</v>
      </c>
      <c r="BF96" s="132">
        <v>0</v>
      </c>
      <c r="BG96" s="132">
        <v>95</v>
      </c>
      <c r="BH96" s="132">
        <v>89</v>
      </c>
      <c r="BI96" s="134">
        <v>0</v>
      </c>
      <c r="BJ96" s="134">
        <v>89</v>
      </c>
      <c r="BK96" s="134">
        <v>16</v>
      </c>
      <c r="BL96" s="134">
        <v>69</v>
      </c>
      <c r="BM96" s="134">
        <v>431</v>
      </c>
      <c r="BN96" s="134">
        <v>431</v>
      </c>
      <c r="BO96" s="134">
        <v>0</v>
      </c>
      <c r="BP96" s="134">
        <v>0</v>
      </c>
      <c r="BQ96" s="134">
        <v>500</v>
      </c>
      <c r="BR96" s="135">
        <v>6.7576021211368076E-2</v>
      </c>
      <c r="BS96" s="136">
        <v>30.748000000000001</v>
      </c>
      <c r="BT96" s="136">
        <v>28.748000000000001</v>
      </c>
      <c r="BU96" s="136">
        <v>27.748000000000001</v>
      </c>
      <c r="BV96" s="136">
        <v>30.748000000000001</v>
      </c>
      <c r="BW96" s="137">
        <v>0</v>
      </c>
      <c r="BX96" s="137">
        <v>0</v>
      </c>
      <c r="BY96" s="138">
        <v>0</v>
      </c>
    </row>
    <row r="97" spans="1:77">
      <c r="A97" s="130" t="s">
        <v>526</v>
      </c>
      <c r="B97" s="131" t="s">
        <v>527</v>
      </c>
      <c r="C97" s="132" t="s">
        <v>528</v>
      </c>
      <c r="D97" s="132" t="s">
        <v>143</v>
      </c>
      <c r="E97" s="133">
        <v>119.55</v>
      </c>
      <c r="F97" s="133">
        <v>5.833333333333333</v>
      </c>
      <c r="G97" s="134">
        <v>104</v>
      </c>
      <c r="H97" s="134">
        <v>630</v>
      </c>
      <c r="I97" s="134">
        <v>192</v>
      </c>
      <c r="J97" s="134">
        <v>84</v>
      </c>
      <c r="K97" s="134">
        <v>1010</v>
      </c>
      <c r="L97" s="134">
        <v>906</v>
      </c>
      <c r="M97" s="134">
        <v>926</v>
      </c>
      <c r="N97" s="134">
        <v>6</v>
      </c>
      <c r="O97" s="132">
        <v>101.56666666666666</v>
      </c>
      <c r="P97" s="132">
        <v>101.71666666666667</v>
      </c>
      <c r="Q97" s="132">
        <v>104.06111111111112</v>
      </c>
      <c r="R97" s="132">
        <v>102.81111111111112</v>
      </c>
      <c r="S97" s="132">
        <v>103.45555555555555</v>
      </c>
      <c r="T97" s="132">
        <v>103.63888888888889</v>
      </c>
      <c r="U97" s="132">
        <v>102.53888888888889</v>
      </c>
      <c r="V97" s="132">
        <v>103.32777777777778</v>
      </c>
      <c r="W97" s="132">
        <v>87.188888888888883</v>
      </c>
      <c r="X97" s="132">
        <v>81.74444444444444</v>
      </c>
      <c r="Y97" s="132">
        <v>0</v>
      </c>
      <c r="Z97" s="132">
        <v>0</v>
      </c>
      <c r="AA97" s="132">
        <v>0</v>
      </c>
      <c r="AB97" s="132">
        <v>618.22222222222229</v>
      </c>
      <c r="AC97" s="132">
        <v>190.51666666666665</v>
      </c>
      <c r="AD97" s="132">
        <v>81.74444444444444</v>
      </c>
      <c r="AE97" s="132">
        <v>910.30555555555554</v>
      </c>
      <c r="AF97" s="132">
        <v>890.48333333333335</v>
      </c>
      <c r="AG97" s="132">
        <v>992.05</v>
      </c>
      <c r="AH97" s="133">
        <v>128.92777777777778</v>
      </c>
      <c r="AI97" s="133">
        <v>7.416666666666667</v>
      </c>
      <c r="AJ97" s="133">
        <v>136.34444444444443</v>
      </c>
      <c r="AK97" s="134">
        <v>102</v>
      </c>
      <c r="AL97" s="139">
        <v>103</v>
      </c>
      <c r="AM97" s="132">
        <v>106</v>
      </c>
      <c r="AN97" s="132">
        <v>105</v>
      </c>
      <c r="AO97" s="132">
        <v>107</v>
      </c>
      <c r="AP97" s="132">
        <v>104</v>
      </c>
      <c r="AQ97" s="132">
        <v>104</v>
      </c>
      <c r="AR97" s="132">
        <v>110</v>
      </c>
      <c r="AS97" s="132">
        <v>108</v>
      </c>
      <c r="AT97" s="132">
        <v>62</v>
      </c>
      <c r="AU97" s="132">
        <v>0</v>
      </c>
      <c r="AV97" s="132">
        <v>0</v>
      </c>
      <c r="AW97" s="132">
        <v>0</v>
      </c>
      <c r="AX97" s="132">
        <v>629</v>
      </c>
      <c r="AY97" s="132">
        <v>218</v>
      </c>
      <c r="AZ97" s="132">
        <v>62</v>
      </c>
      <c r="BA97" s="132">
        <v>949</v>
      </c>
      <c r="BB97" s="132">
        <v>909</v>
      </c>
      <c r="BC97" s="132">
        <v>1011</v>
      </c>
      <c r="BD97" s="132">
        <v>0</v>
      </c>
      <c r="BE97" s="132">
        <v>102</v>
      </c>
      <c r="BF97" s="132">
        <v>0</v>
      </c>
      <c r="BG97" s="132">
        <v>125</v>
      </c>
      <c r="BH97" s="132">
        <v>126</v>
      </c>
      <c r="BI97" s="134">
        <v>7</v>
      </c>
      <c r="BJ97" s="134">
        <v>133</v>
      </c>
      <c r="BK97" s="134">
        <v>9</v>
      </c>
      <c r="BL97" s="134">
        <v>104</v>
      </c>
      <c r="BM97" s="134">
        <v>908</v>
      </c>
      <c r="BN97" s="134">
        <v>624</v>
      </c>
      <c r="BO97" s="134">
        <v>219</v>
      </c>
      <c r="BP97" s="134">
        <v>65</v>
      </c>
      <c r="BQ97" s="134">
        <v>1012</v>
      </c>
      <c r="BR97" s="135">
        <v>7.5022907758094115E-2</v>
      </c>
      <c r="BS97" s="136">
        <v>53</v>
      </c>
      <c r="BT97" s="136">
        <v>53</v>
      </c>
      <c r="BU97" s="136">
        <v>52</v>
      </c>
      <c r="BV97" s="136">
        <v>53</v>
      </c>
      <c r="BW97" s="137">
        <v>0</v>
      </c>
      <c r="BX97" s="137">
        <v>0</v>
      </c>
      <c r="BY97" s="138">
        <v>0</v>
      </c>
    </row>
    <row r="98" spans="1:77">
      <c r="A98" s="130" t="s">
        <v>529</v>
      </c>
      <c r="B98" s="131" t="s">
        <v>530</v>
      </c>
      <c r="C98" s="132" t="s">
        <v>531</v>
      </c>
      <c r="D98" s="132" t="s">
        <v>143</v>
      </c>
      <c r="E98" s="133">
        <v>240.87222222222223</v>
      </c>
      <c r="F98" s="133">
        <v>11.472222222222221</v>
      </c>
      <c r="G98" s="134">
        <v>178</v>
      </c>
      <c r="H98" s="134">
        <v>1123</v>
      </c>
      <c r="I98" s="134">
        <v>298</v>
      </c>
      <c r="J98" s="134">
        <v>141</v>
      </c>
      <c r="K98" s="134">
        <v>1740</v>
      </c>
      <c r="L98" s="134">
        <v>1562</v>
      </c>
      <c r="M98" s="134">
        <v>1599</v>
      </c>
      <c r="N98" s="134">
        <v>11</v>
      </c>
      <c r="O98" s="132">
        <v>173.46111111111111</v>
      </c>
      <c r="P98" s="132">
        <v>170.79444444444445</v>
      </c>
      <c r="Q98" s="132">
        <v>185.17777777777778</v>
      </c>
      <c r="R98" s="132">
        <v>184.12777777777777</v>
      </c>
      <c r="S98" s="132">
        <v>181.82777777777778</v>
      </c>
      <c r="T98" s="132">
        <v>183.34444444444443</v>
      </c>
      <c r="U98" s="132">
        <v>201.17777777777778</v>
      </c>
      <c r="V98" s="132">
        <v>150.44444444444446</v>
      </c>
      <c r="W98" s="132">
        <v>143.31666666666666</v>
      </c>
      <c r="X98" s="132">
        <v>137.03333333333333</v>
      </c>
      <c r="Y98" s="132">
        <v>0</v>
      </c>
      <c r="Z98" s="132">
        <v>0</v>
      </c>
      <c r="AA98" s="132">
        <v>0</v>
      </c>
      <c r="AB98" s="132">
        <v>1106.45</v>
      </c>
      <c r="AC98" s="132">
        <v>293.76111111111112</v>
      </c>
      <c r="AD98" s="132">
        <v>137.03333333333333</v>
      </c>
      <c r="AE98" s="132">
        <v>1573.672222222222</v>
      </c>
      <c r="AF98" s="132">
        <v>1537.2444444444445</v>
      </c>
      <c r="AG98" s="132">
        <v>1710.7055555555553</v>
      </c>
      <c r="AH98" s="133">
        <v>276.07777777777778</v>
      </c>
      <c r="AI98" s="133">
        <v>8.2166666666666668</v>
      </c>
      <c r="AJ98" s="133">
        <v>284.29444444444442</v>
      </c>
      <c r="AK98" s="134">
        <v>173</v>
      </c>
      <c r="AL98" s="139">
        <v>177</v>
      </c>
      <c r="AM98" s="132">
        <v>185</v>
      </c>
      <c r="AN98" s="132">
        <v>188</v>
      </c>
      <c r="AO98" s="132">
        <v>187</v>
      </c>
      <c r="AP98" s="132">
        <v>185</v>
      </c>
      <c r="AQ98" s="132">
        <v>191</v>
      </c>
      <c r="AR98" s="132">
        <v>168</v>
      </c>
      <c r="AS98" s="132">
        <v>146</v>
      </c>
      <c r="AT98" s="132">
        <v>140</v>
      </c>
      <c r="AU98" s="132">
        <v>0</v>
      </c>
      <c r="AV98" s="132">
        <v>0</v>
      </c>
      <c r="AW98" s="132">
        <v>0</v>
      </c>
      <c r="AX98" s="132">
        <v>1113</v>
      </c>
      <c r="AY98" s="132">
        <v>314</v>
      </c>
      <c r="AZ98" s="132">
        <v>140</v>
      </c>
      <c r="BA98" s="132">
        <v>1600</v>
      </c>
      <c r="BB98" s="132">
        <v>1567</v>
      </c>
      <c r="BC98" s="132">
        <v>1740</v>
      </c>
      <c r="BD98" s="132">
        <v>78</v>
      </c>
      <c r="BE98" s="132">
        <v>95</v>
      </c>
      <c r="BF98" s="132">
        <v>0</v>
      </c>
      <c r="BG98" s="132">
        <v>306</v>
      </c>
      <c r="BH98" s="132">
        <v>307</v>
      </c>
      <c r="BI98" s="134">
        <v>8</v>
      </c>
      <c r="BJ98" s="134">
        <v>315</v>
      </c>
      <c r="BK98" s="134">
        <v>15</v>
      </c>
      <c r="BL98" s="134">
        <v>178</v>
      </c>
      <c r="BM98" s="134">
        <v>1562</v>
      </c>
      <c r="BN98" s="134">
        <v>1108</v>
      </c>
      <c r="BO98" s="134">
        <v>315</v>
      </c>
      <c r="BP98" s="134">
        <v>139</v>
      </c>
      <c r="BQ98" s="134">
        <v>1740</v>
      </c>
      <c r="BR98" s="135">
        <v>8.8459735960433772E-2</v>
      </c>
      <c r="BS98" s="136">
        <v>107.76899999999999</v>
      </c>
      <c r="BT98" s="136">
        <v>101.76899999999999</v>
      </c>
      <c r="BU98" s="136">
        <v>97.468999999999994</v>
      </c>
      <c r="BV98" s="136">
        <v>107.76899999999999</v>
      </c>
      <c r="BW98" s="137">
        <v>0</v>
      </c>
      <c r="BX98" s="137">
        <v>0</v>
      </c>
      <c r="BY98" s="138">
        <v>0</v>
      </c>
    </row>
    <row r="99" spans="1:77">
      <c r="A99" s="130" t="s">
        <v>532</v>
      </c>
      <c r="B99" s="131" t="s">
        <v>533</v>
      </c>
      <c r="C99" s="132" t="s">
        <v>534</v>
      </c>
      <c r="D99" s="132" t="s">
        <v>143</v>
      </c>
      <c r="E99" s="133">
        <v>41.911111111111111</v>
      </c>
      <c r="F99" s="133">
        <v>3.6055555555555556</v>
      </c>
      <c r="G99" s="134">
        <v>71</v>
      </c>
      <c r="H99" s="134">
        <v>308</v>
      </c>
      <c r="I99" s="134">
        <v>92</v>
      </c>
      <c r="J99" s="134">
        <v>0</v>
      </c>
      <c r="K99" s="134">
        <v>471</v>
      </c>
      <c r="L99" s="134">
        <v>400</v>
      </c>
      <c r="M99" s="134">
        <v>471</v>
      </c>
      <c r="N99" s="134">
        <v>3</v>
      </c>
      <c r="O99" s="132">
        <v>69.794444444444451</v>
      </c>
      <c r="P99" s="132">
        <v>50.861111111111114</v>
      </c>
      <c r="Q99" s="132">
        <v>53.611111111111114</v>
      </c>
      <c r="R99" s="132">
        <v>54.472222222222221</v>
      </c>
      <c r="S99" s="132">
        <v>43.005555555555553</v>
      </c>
      <c r="T99" s="132">
        <v>48.794444444444444</v>
      </c>
      <c r="U99" s="132">
        <v>50.116666666666667</v>
      </c>
      <c r="V99" s="132">
        <v>49.488888888888887</v>
      </c>
      <c r="W99" s="132">
        <v>44.494444444444447</v>
      </c>
      <c r="X99" s="132">
        <v>0</v>
      </c>
      <c r="Y99" s="132">
        <v>0</v>
      </c>
      <c r="Z99" s="132">
        <v>0</v>
      </c>
      <c r="AA99" s="132">
        <v>0</v>
      </c>
      <c r="AB99" s="132">
        <v>300.86111111111114</v>
      </c>
      <c r="AC99" s="132">
        <v>93.983333333333334</v>
      </c>
      <c r="AD99" s="132">
        <v>0</v>
      </c>
      <c r="AE99" s="132">
        <v>464.63888888888891</v>
      </c>
      <c r="AF99" s="132">
        <v>394.84444444444449</v>
      </c>
      <c r="AG99" s="132">
        <v>464.63888888888891</v>
      </c>
      <c r="AH99" s="133">
        <v>40.594444444444441</v>
      </c>
      <c r="AI99" s="133">
        <v>3</v>
      </c>
      <c r="AJ99" s="133">
        <v>43.594444444444441</v>
      </c>
      <c r="AK99" s="134">
        <v>55</v>
      </c>
      <c r="AL99" s="139">
        <v>67</v>
      </c>
      <c r="AM99" s="132">
        <v>54</v>
      </c>
      <c r="AN99" s="132">
        <v>53</v>
      </c>
      <c r="AO99" s="132">
        <v>49</v>
      </c>
      <c r="AP99" s="132">
        <v>38</v>
      </c>
      <c r="AQ99" s="132">
        <v>44</v>
      </c>
      <c r="AR99" s="132">
        <v>51</v>
      </c>
      <c r="AS99" s="132">
        <v>49</v>
      </c>
      <c r="AT99" s="132">
        <v>0</v>
      </c>
      <c r="AU99" s="132">
        <v>0</v>
      </c>
      <c r="AV99" s="132">
        <v>0</v>
      </c>
      <c r="AW99" s="132">
        <v>0</v>
      </c>
      <c r="AX99" s="132">
        <v>305</v>
      </c>
      <c r="AY99" s="132">
        <v>100</v>
      </c>
      <c r="AZ99" s="132">
        <v>0</v>
      </c>
      <c r="BA99" s="132">
        <v>460</v>
      </c>
      <c r="BB99" s="132">
        <v>405</v>
      </c>
      <c r="BC99" s="132">
        <v>460</v>
      </c>
      <c r="BD99" s="132">
        <v>55</v>
      </c>
      <c r="BE99" s="132">
        <v>0</v>
      </c>
      <c r="BF99" s="132">
        <v>0</v>
      </c>
      <c r="BG99" s="132">
        <v>365</v>
      </c>
      <c r="BH99" s="132">
        <v>36</v>
      </c>
      <c r="BI99" s="134">
        <v>2</v>
      </c>
      <c r="BJ99" s="134">
        <v>38</v>
      </c>
      <c r="BK99" s="134">
        <v>187</v>
      </c>
      <c r="BL99" s="134">
        <v>67</v>
      </c>
      <c r="BM99" s="134">
        <v>383</v>
      </c>
      <c r="BN99" s="134">
        <v>295</v>
      </c>
      <c r="BO99" s="134">
        <v>88</v>
      </c>
      <c r="BP99" s="134">
        <v>0</v>
      </c>
      <c r="BQ99" s="134">
        <v>450</v>
      </c>
      <c r="BR99" s="135">
        <v>3.2738095238095177E-2</v>
      </c>
      <c r="BS99" s="136">
        <v>21</v>
      </c>
      <c r="BT99" s="136">
        <v>20</v>
      </c>
      <c r="BU99" s="136">
        <v>20</v>
      </c>
      <c r="BV99" s="136">
        <v>26</v>
      </c>
      <c r="BW99" s="137">
        <v>0</v>
      </c>
      <c r="BX99" s="137">
        <v>0</v>
      </c>
      <c r="BY99" s="138">
        <v>0</v>
      </c>
    </row>
    <row r="100" spans="1:77">
      <c r="A100" s="130" t="s">
        <v>535</v>
      </c>
      <c r="B100" s="131" t="s">
        <v>536</v>
      </c>
      <c r="C100" s="132" t="s">
        <v>537</v>
      </c>
      <c r="D100" s="132" t="s">
        <v>143</v>
      </c>
      <c r="E100" s="133">
        <v>48.266666666666666</v>
      </c>
      <c r="F100" s="133">
        <v>5.7</v>
      </c>
      <c r="G100" s="134">
        <v>0</v>
      </c>
      <c r="H100" s="134">
        <v>0</v>
      </c>
      <c r="I100" s="134">
        <v>0</v>
      </c>
      <c r="J100" s="134">
        <v>342</v>
      </c>
      <c r="K100" s="134">
        <v>342</v>
      </c>
      <c r="L100" s="134">
        <v>342</v>
      </c>
      <c r="M100" s="134">
        <v>0</v>
      </c>
      <c r="N100" s="134">
        <v>16</v>
      </c>
      <c r="O100" s="132">
        <v>0</v>
      </c>
      <c r="P100" s="132">
        <v>0</v>
      </c>
      <c r="Q100" s="132">
        <v>0</v>
      </c>
      <c r="R100" s="132">
        <v>0</v>
      </c>
      <c r="S100" s="132">
        <v>0</v>
      </c>
      <c r="T100" s="132">
        <v>0</v>
      </c>
      <c r="U100" s="132">
        <v>0</v>
      </c>
      <c r="V100" s="132">
        <v>0</v>
      </c>
      <c r="W100" s="132">
        <v>0</v>
      </c>
      <c r="X100" s="132">
        <v>85.077777777777783</v>
      </c>
      <c r="Y100" s="132">
        <v>89.533333333333331</v>
      </c>
      <c r="Z100" s="132">
        <v>74.322222222222223</v>
      </c>
      <c r="AA100" s="132">
        <v>69.211111111111109</v>
      </c>
      <c r="AB100" s="132">
        <v>0</v>
      </c>
      <c r="AC100" s="132">
        <v>0</v>
      </c>
      <c r="AD100" s="132">
        <v>318.14444444444445</v>
      </c>
      <c r="AE100" s="132">
        <v>0</v>
      </c>
      <c r="AF100" s="132">
        <v>318.14444444444445</v>
      </c>
      <c r="AG100" s="132">
        <v>318.14444444444445</v>
      </c>
      <c r="AH100" s="133">
        <v>46.005555555555553</v>
      </c>
      <c r="AI100" s="133">
        <v>17.172222222222221</v>
      </c>
      <c r="AJ100" s="133">
        <v>63.177777777777777</v>
      </c>
      <c r="AK100" s="134">
        <v>0</v>
      </c>
      <c r="AL100" s="139">
        <v>0</v>
      </c>
      <c r="AM100" s="132">
        <v>0</v>
      </c>
      <c r="AN100" s="132">
        <v>0</v>
      </c>
      <c r="AO100" s="132">
        <v>0</v>
      </c>
      <c r="AP100" s="132">
        <v>0</v>
      </c>
      <c r="AQ100" s="132">
        <v>0</v>
      </c>
      <c r="AR100" s="132">
        <v>0</v>
      </c>
      <c r="AS100" s="132">
        <v>0</v>
      </c>
      <c r="AT100" s="132">
        <v>104</v>
      </c>
      <c r="AU100" s="132">
        <v>99</v>
      </c>
      <c r="AV100" s="132">
        <v>83</v>
      </c>
      <c r="AW100" s="132">
        <v>75</v>
      </c>
      <c r="AX100" s="132">
        <v>0</v>
      </c>
      <c r="AY100" s="132">
        <v>0</v>
      </c>
      <c r="AZ100" s="132">
        <v>361</v>
      </c>
      <c r="BA100" s="132">
        <v>0</v>
      </c>
      <c r="BB100" s="132">
        <v>361</v>
      </c>
      <c r="BC100" s="132">
        <v>361</v>
      </c>
      <c r="BD100" s="132">
        <v>0</v>
      </c>
      <c r="BE100" s="132">
        <v>0</v>
      </c>
      <c r="BF100" s="132">
        <v>2</v>
      </c>
      <c r="BG100" s="132">
        <v>170</v>
      </c>
      <c r="BH100" s="132">
        <v>52</v>
      </c>
      <c r="BI100" s="134">
        <v>16</v>
      </c>
      <c r="BJ100" s="134">
        <v>68</v>
      </c>
      <c r="BK100" s="134">
        <v>50</v>
      </c>
      <c r="BL100" s="134">
        <v>0</v>
      </c>
      <c r="BM100" s="134">
        <v>360</v>
      </c>
      <c r="BN100" s="134">
        <v>0</v>
      </c>
      <c r="BO100" s="134">
        <v>0</v>
      </c>
      <c r="BP100" s="134">
        <v>360</v>
      </c>
      <c r="BQ100" s="134">
        <v>360</v>
      </c>
      <c r="BR100" s="135">
        <v>9.7908447142134536E-2</v>
      </c>
      <c r="BS100" s="136">
        <v>25.69</v>
      </c>
      <c r="BT100" s="136">
        <v>24.69</v>
      </c>
      <c r="BU100" s="136">
        <v>24.69</v>
      </c>
      <c r="BV100" s="136">
        <v>25.690000000000005</v>
      </c>
      <c r="BW100" s="137">
        <v>0</v>
      </c>
      <c r="BX100" s="137">
        <v>0</v>
      </c>
      <c r="BY100" s="138">
        <v>0</v>
      </c>
    </row>
    <row r="101" spans="1:77">
      <c r="A101" s="130" t="s">
        <v>538</v>
      </c>
      <c r="B101" s="131" t="s">
        <v>539</v>
      </c>
      <c r="C101" s="132" t="s">
        <v>540</v>
      </c>
      <c r="D101" s="132" t="s">
        <v>143</v>
      </c>
      <c r="E101" s="133">
        <v>65.483333333333334</v>
      </c>
      <c r="F101" s="133">
        <v>3.4555555555555557</v>
      </c>
      <c r="G101" s="134">
        <v>52</v>
      </c>
      <c r="H101" s="134">
        <v>255</v>
      </c>
      <c r="I101" s="134">
        <v>49</v>
      </c>
      <c r="J101" s="134">
        <v>23</v>
      </c>
      <c r="K101" s="134">
        <v>379</v>
      </c>
      <c r="L101" s="134">
        <v>327</v>
      </c>
      <c r="M101" s="134">
        <v>356</v>
      </c>
      <c r="N101" s="134">
        <v>3</v>
      </c>
      <c r="O101" s="132">
        <v>54.322222222222223</v>
      </c>
      <c r="P101" s="132">
        <v>45.06666666666667</v>
      </c>
      <c r="Q101" s="132">
        <v>44.5</v>
      </c>
      <c r="R101" s="132">
        <v>47.8</v>
      </c>
      <c r="S101" s="132">
        <v>30.588888888888889</v>
      </c>
      <c r="T101" s="132">
        <v>37.511111111111113</v>
      </c>
      <c r="U101" s="132">
        <v>47.022222222222226</v>
      </c>
      <c r="V101" s="132">
        <v>25.238888888888887</v>
      </c>
      <c r="W101" s="132">
        <v>23.427777777777777</v>
      </c>
      <c r="X101" s="132">
        <v>21.988888888888887</v>
      </c>
      <c r="Y101" s="132">
        <v>0</v>
      </c>
      <c r="Z101" s="132">
        <v>0</v>
      </c>
      <c r="AA101" s="132">
        <v>0</v>
      </c>
      <c r="AB101" s="132">
        <v>252.48888888888894</v>
      </c>
      <c r="AC101" s="132">
        <v>48.666666666666664</v>
      </c>
      <c r="AD101" s="132">
        <v>21.988888888888887</v>
      </c>
      <c r="AE101" s="132">
        <v>355.47777777777776</v>
      </c>
      <c r="AF101" s="132">
        <v>323.14444444444445</v>
      </c>
      <c r="AG101" s="132">
        <v>377.46666666666664</v>
      </c>
      <c r="AH101" s="133">
        <v>83.311111111111117</v>
      </c>
      <c r="AI101" s="133">
        <v>2.5722222222222224</v>
      </c>
      <c r="AJ101" s="133">
        <v>85.88333333333334</v>
      </c>
      <c r="AK101" s="134">
        <v>69</v>
      </c>
      <c r="AL101" s="139">
        <v>53</v>
      </c>
      <c r="AM101" s="132">
        <v>45</v>
      </c>
      <c r="AN101" s="132">
        <v>44</v>
      </c>
      <c r="AO101" s="132">
        <v>43</v>
      </c>
      <c r="AP101" s="132">
        <v>30</v>
      </c>
      <c r="AQ101" s="132">
        <v>37</v>
      </c>
      <c r="AR101" s="132">
        <v>37</v>
      </c>
      <c r="AS101" s="132">
        <v>29</v>
      </c>
      <c r="AT101" s="132">
        <v>20</v>
      </c>
      <c r="AU101" s="132">
        <v>0</v>
      </c>
      <c r="AV101" s="132">
        <v>0</v>
      </c>
      <c r="AW101" s="132">
        <v>0</v>
      </c>
      <c r="AX101" s="132">
        <v>252</v>
      </c>
      <c r="AY101" s="132">
        <v>66</v>
      </c>
      <c r="AZ101" s="132">
        <v>20</v>
      </c>
      <c r="BA101" s="132">
        <v>387</v>
      </c>
      <c r="BB101" s="132">
        <v>338</v>
      </c>
      <c r="BC101" s="132">
        <v>407</v>
      </c>
      <c r="BD101" s="132">
        <v>68</v>
      </c>
      <c r="BE101" s="132">
        <v>1</v>
      </c>
      <c r="BF101" s="132">
        <v>0</v>
      </c>
      <c r="BG101" s="132">
        <v>3</v>
      </c>
      <c r="BH101" s="132">
        <v>76</v>
      </c>
      <c r="BI101" s="134">
        <v>2</v>
      </c>
      <c r="BJ101" s="134">
        <v>78</v>
      </c>
      <c r="BK101" s="134">
        <v>19</v>
      </c>
      <c r="BL101" s="134">
        <v>64</v>
      </c>
      <c r="BM101" s="134">
        <v>316</v>
      </c>
      <c r="BN101" s="134">
        <v>235</v>
      </c>
      <c r="BO101" s="134">
        <v>63</v>
      </c>
      <c r="BP101" s="134">
        <v>18</v>
      </c>
      <c r="BQ101" s="134">
        <v>380</v>
      </c>
      <c r="BR101" s="135">
        <v>6.865412481886779E-2</v>
      </c>
      <c r="BS101" s="136">
        <v>25.5</v>
      </c>
      <c r="BT101" s="136">
        <v>25.5</v>
      </c>
      <c r="BU101" s="136">
        <v>25.5</v>
      </c>
      <c r="BV101" s="136">
        <v>25.5</v>
      </c>
      <c r="BW101" s="137">
        <v>0</v>
      </c>
      <c r="BX101" s="137">
        <v>0</v>
      </c>
      <c r="BY101" s="138">
        <v>0</v>
      </c>
    </row>
    <row r="102" spans="1:77">
      <c r="A102" s="130" t="s">
        <v>541</v>
      </c>
      <c r="B102" s="131" t="s">
        <v>542</v>
      </c>
      <c r="C102" s="132" t="s">
        <v>543</v>
      </c>
      <c r="D102" s="132" t="s">
        <v>143</v>
      </c>
      <c r="E102" s="133">
        <v>21.105555555555554</v>
      </c>
      <c r="F102" s="133">
        <v>0</v>
      </c>
      <c r="G102" s="134">
        <v>27</v>
      </c>
      <c r="H102" s="134">
        <v>158</v>
      </c>
      <c r="I102" s="134">
        <v>56</v>
      </c>
      <c r="J102" s="134">
        <v>56</v>
      </c>
      <c r="K102" s="134">
        <v>297</v>
      </c>
      <c r="L102" s="134">
        <v>270</v>
      </c>
      <c r="M102" s="134">
        <v>241</v>
      </c>
      <c r="N102" s="134">
        <v>0</v>
      </c>
      <c r="O102" s="132">
        <v>25.988888888888887</v>
      </c>
      <c r="P102" s="132">
        <v>22.461111111111112</v>
      </c>
      <c r="Q102" s="132">
        <v>23.55</v>
      </c>
      <c r="R102" s="132">
        <v>29.55</v>
      </c>
      <c r="S102" s="132">
        <v>28.45</v>
      </c>
      <c r="T102" s="132">
        <v>18.127777777777776</v>
      </c>
      <c r="U102" s="132">
        <v>30.511111111111113</v>
      </c>
      <c r="V102" s="132">
        <v>30.8</v>
      </c>
      <c r="W102" s="132">
        <v>22.894444444444446</v>
      </c>
      <c r="X102" s="132">
        <v>15</v>
      </c>
      <c r="Y102" s="132">
        <v>13.666666666666666</v>
      </c>
      <c r="Z102" s="132">
        <v>14.6</v>
      </c>
      <c r="AA102" s="132">
        <v>11.5</v>
      </c>
      <c r="AB102" s="132">
        <v>152.65</v>
      </c>
      <c r="AC102" s="132">
        <v>53.694444444444443</v>
      </c>
      <c r="AD102" s="132">
        <v>54.766666666666666</v>
      </c>
      <c r="AE102" s="132">
        <v>232.33333333333334</v>
      </c>
      <c r="AF102" s="132">
        <v>261.11111111111109</v>
      </c>
      <c r="AG102" s="132">
        <v>287.10000000000002</v>
      </c>
      <c r="AH102" s="133">
        <v>15.2</v>
      </c>
      <c r="AI102" s="133">
        <v>0</v>
      </c>
      <c r="AJ102" s="133">
        <v>15.2</v>
      </c>
      <c r="AK102" s="134">
        <v>24</v>
      </c>
      <c r="AL102" s="139">
        <v>27</v>
      </c>
      <c r="AM102" s="132">
        <v>25</v>
      </c>
      <c r="AN102" s="132">
        <v>26</v>
      </c>
      <c r="AO102" s="132">
        <v>29</v>
      </c>
      <c r="AP102" s="132">
        <v>31</v>
      </c>
      <c r="AQ102" s="132">
        <v>18</v>
      </c>
      <c r="AR102" s="132">
        <v>31</v>
      </c>
      <c r="AS102" s="132">
        <v>31</v>
      </c>
      <c r="AT102" s="132">
        <v>15</v>
      </c>
      <c r="AU102" s="132">
        <v>14</v>
      </c>
      <c r="AV102" s="132">
        <v>10</v>
      </c>
      <c r="AW102" s="132">
        <v>14</v>
      </c>
      <c r="AX102" s="132">
        <v>156</v>
      </c>
      <c r="AY102" s="132">
        <v>62</v>
      </c>
      <c r="AZ102" s="132">
        <v>53</v>
      </c>
      <c r="BA102" s="132">
        <v>242</v>
      </c>
      <c r="BB102" s="132">
        <v>271</v>
      </c>
      <c r="BC102" s="132">
        <v>295</v>
      </c>
      <c r="BD102" s="132">
        <v>24</v>
      </c>
      <c r="BE102" s="132">
        <v>0</v>
      </c>
      <c r="BF102" s="132">
        <v>0</v>
      </c>
      <c r="BG102" s="132">
        <v>129</v>
      </c>
      <c r="BH102" s="132">
        <v>13</v>
      </c>
      <c r="BI102" s="134">
        <v>0</v>
      </c>
      <c r="BJ102" s="134">
        <v>13</v>
      </c>
      <c r="BK102" s="134">
        <v>25</v>
      </c>
      <c r="BL102" s="134">
        <v>26</v>
      </c>
      <c r="BM102" s="134">
        <v>267</v>
      </c>
      <c r="BN102" s="134">
        <v>155</v>
      </c>
      <c r="BO102" s="134">
        <v>56</v>
      </c>
      <c r="BP102" s="134">
        <v>56</v>
      </c>
      <c r="BQ102" s="134">
        <v>293</v>
      </c>
      <c r="BR102" s="135">
        <v>4.9816968130921624E-2</v>
      </c>
      <c r="BS102" s="136">
        <v>10.37</v>
      </c>
      <c r="BT102" s="136">
        <v>8.9850000000000012</v>
      </c>
      <c r="BU102" s="136">
        <v>8.9850000000000012</v>
      </c>
      <c r="BV102" s="136">
        <v>11.87</v>
      </c>
      <c r="BW102" s="137">
        <v>0</v>
      </c>
      <c r="BX102" s="137">
        <v>0</v>
      </c>
      <c r="BY102" s="138">
        <v>0</v>
      </c>
    </row>
    <row r="103" spans="1:77">
      <c r="A103" s="130" t="s">
        <v>544</v>
      </c>
      <c r="B103" s="131" t="s">
        <v>545</v>
      </c>
      <c r="C103" s="132" t="s">
        <v>546</v>
      </c>
      <c r="D103" s="132" t="s">
        <v>143</v>
      </c>
      <c r="E103" s="133">
        <v>120.14444444444445</v>
      </c>
      <c r="F103" s="133">
        <v>2.7611111111111111</v>
      </c>
      <c r="G103" s="134">
        <v>62</v>
      </c>
      <c r="H103" s="134">
        <v>354</v>
      </c>
      <c r="I103" s="134">
        <v>91</v>
      </c>
      <c r="J103" s="134">
        <v>0</v>
      </c>
      <c r="K103" s="134">
        <v>507</v>
      </c>
      <c r="L103" s="134">
        <v>445</v>
      </c>
      <c r="M103" s="134">
        <v>507</v>
      </c>
      <c r="N103" s="134">
        <v>2</v>
      </c>
      <c r="O103" s="132">
        <v>64.033333333333331</v>
      </c>
      <c r="P103" s="132">
        <v>57.016666666666666</v>
      </c>
      <c r="Q103" s="132">
        <v>57.494444444444447</v>
      </c>
      <c r="R103" s="132">
        <v>52.272222222222226</v>
      </c>
      <c r="S103" s="132">
        <v>72.094444444444449</v>
      </c>
      <c r="T103" s="132">
        <v>45.966666666666669</v>
      </c>
      <c r="U103" s="132">
        <v>57.9</v>
      </c>
      <c r="V103" s="132">
        <v>44.883333333333333</v>
      </c>
      <c r="W103" s="132">
        <v>41.983333333333334</v>
      </c>
      <c r="X103" s="132">
        <v>0</v>
      </c>
      <c r="Y103" s="132">
        <v>0</v>
      </c>
      <c r="Z103" s="132">
        <v>0</v>
      </c>
      <c r="AA103" s="132">
        <v>0</v>
      </c>
      <c r="AB103" s="132">
        <v>342.74444444444441</v>
      </c>
      <c r="AC103" s="132">
        <v>86.866666666666674</v>
      </c>
      <c r="AD103" s="132">
        <v>0</v>
      </c>
      <c r="AE103" s="132">
        <v>493.64444444444439</v>
      </c>
      <c r="AF103" s="132">
        <v>429.61111111111109</v>
      </c>
      <c r="AG103" s="132">
        <v>493.64444444444439</v>
      </c>
      <c r="AH103" s="133">
        <v>95.938888888888883</v>
      </c>
      <c r="AI103" s="133">
        <v>2.3166666666666669</v>
      </c>
      <c r="AJ103" s="133">
        <v>98.255555555555546</v>
      </c>
      <c r="AK103" s="134">
        <v>62</v>
      </c>
      <c r="AL103" s="139">
        <v>51</v>
      </c>
      <c r="AM103" s="132">
        <v>56</v>
      </c>
      <c r="AN103" s="132">
        <v>65</v>
      </c>
      <c r="AO103" s="132">
        <v>66</v>
      </c>
      <c r="AP103" s="132">
        <v>69</v>
      </c>
      <c r="AQ103" s="132">
        <v>52</v>
      </c>
      <c r="AR103" s="132">
        <v>55</v>
      </c>
      <c r="AS103" s="132">
        <v>42</v>
      </c>
      <c r="AT103" s="132">
        <v>0</v>
      </c>
      <c r="AU103" s="132">
        <v>0</v>
      </c>
      <c r="AV103" s="132">
        <v>0</v>
      </c>
      <c r="AW103" s="132">
        <v>0</v>
      </c>
      <c r="AX103" s="132">
        <v>359</v>
      </c>
      <c r="AY103" s="132">
        <v>97</v>
      </c>
      <c r="AZ103" s="132">
        <v>0</v>
      </c>
      <c r="BA103" s="132">
        <v>518</v>
      </c>
      <c r="BB103" s="132">
        <v>456</v>
      </c>
      <c r="BC103" s="132">
        <v>518</v>
      </c>
      <c r="BD103" s="132">
        <v>62</v>
      </c>
      <c r="BE103" s="132">
        <v>0</v>
      </c>
      <c r="BF103" s="132">
        <v>0</v>
      </c>
      <c r="BG103" s="132">
        <v>193</v>
      </c>
      <c r="BH103" s="132">
        <v>99</v>
      </c>
      <c r="BI103" s="134">
        <v>2</v>
      </c>
      <c r="BJ103" s="134">
        <v>101</v>
      </c>
      <c r="BK103" s="134">
        <v>0</v>
      </c>
      <c r="BL103" s="134">
        <v>52</v>
      </c>
      <c r="BM103" s="134">
        <v>463</v>
      </c>
      <c r="BN103" s="134">
        <v>353</v>
      </c>
      <c r="BO103" s="134">
        <v>110</v>
      </c>
      <c r="BP103" s="134">
        <v>0</v>
      </c>
      <c r="BQ103" s="134">
        <v>515</v>
      </c>
      <c r="BR103" s="135">
        <v>5.7279217224705803E-2</v>
      </c>
      <c r="BS103" s="136">
        <v>25</v>
      </c>
      <c r="BT103" s="136">
        <v>22</v>
      </c>
      <c r="BU103" s="136">
        <v>22</v>
      </c>
      <c r="BV103" s="136">
        <v>28</v>
      </c>
      <c r="BW103" s="137">
        <v>385</v>
      </c>
      <c r="BX103" s="137">
        <v>284</v>
      </c>
      <c r="BY103" s="138">
        <v>399.36111099999999</v>
      </c>
    </row>
    <row r="104" spans="1:77">
      <c r="A104" s="130" t="s">
        <v>547</v>
      </c>
      <c r="B104" s="131" t="s">
        <v>548</v>
      </c>
      <c r="C104" s="132" t="s">
        <v>549</v>
      </c>
      <c r="D104" s="132" t="s">
        <v>143</v>
      </c>
      <c r="E104" s="133">
        <v>36.4</v>
      </c>
      <c r="F104" s="133">
        <v>0.68333333333333335</v>
      </c>
      <c r="G104" s="134">
        <v>60</v>
      </c>
      <c r="H104" s="134">
        <v>399</v>
      </c>
      <c r="I104" s="134">
        <v>48</v>
      </c>
      <c r="J104" s="134">
        <v>0</v>
      </c>
      <c r="K104" s="134">
        <v>507</v>
      </c>
      <c r="L104" s="134">
        <v>447</v>
      </c>
      <c r="M104" s="134">
        <v>507</v>
      </c>
      <c r="N104" s="134">
        <v>0</v>
      </c>
      <c r="O104" s="132">
        <v>59.37222222222222</v>
      </c>
      <c r="P104" s="132">
        <v>80.516666666666666</v>
      </c>
      <c r="Q104" s="132">
        <v>58.644444444444446</v>
      </c>
      <c r="R104" s="132">
        <v>77.694444444444443</v>
      </c>
      <c r="S104" s="132">
        <v>58.366666666666667</v>
      </c>
      <c r="T104" s="132">
        <v>54.961111111111109</v>
      </c>
      <c r="U104" s="132">
        <v>54.111111111111114</v>
      </c>
      <c r="V104" s="132">
        <v>25.627777777777776</v>
      </c>
      <c r="W104" s="132">
        <v>21.088888888888889</v>
      </c>
      <c r="X104" s="132">
        <v>0</v>
      </c>
      <c r="Y104" s="132">
        <v>0</v>
      </c>
      <c r="Z104" s="132">
        <v>0</v>
      </c>
      <c r="AA104" s="132">
        <v>0</v>
      </c>
      <c r="AB104" s="132">
        <v>384.29444444444448</v>
      </c>
      <c r="AC104" s="132">
        <v>46.716666666666669</v>
      </c>
      <c r="AD104" s="132">
        <v>0</v>
      </c>
      <c r="AE104" s="132">
        <v>490.38333333333333</v>
      </c>
      <c r="AF104" s="132">
        <v>431.01111111111118</v>
      </c>
      <c r="AG104" s="132">
        <v>490.38333333333333</v>
      </c>
      <c r="AH104" s="133">
        <v>66.572222222222223</v>
      </c>
      <c r="AI104" s="133">
        <v>0</v>
      </c>
      <c r="AJ104" s="133">
        <v>66.572222222222223</v>
      </c>
      <c r="AK104" s="134">
        <v>60</v>
      </c>
      <c r="AL104" s="139">
        <v>81</v>
      </c>
      <c r="AM104" s="132">
        <v>75</v>
      </c>
      <c r="AN104" s="132">
        <v>59</v>
      </c>
      <c r="AO104" s="132">
        <v>59</v>
      </c>
      <c r="AP104" s="132">
        <v>56</v>
      </c>
      <c r="AQ104" s="132">
        <v>48</v>
      </c>
      <c r="AR104" s="132">
        <v>28</v>
      </c>
      <c r="AS104" s="132">
        <v>13</v>
      </c>
      <c r="AT104" s="132">
        <v>0</v>
      </c>
      <c r="AU104" s="132">
        <v>0</v>
      </c>
      <c r="AV104" s="132">
        <v>0</v>
      </c>
      <c r="AW104" s="132">
        <v>0</v>
      </c>
      <c r="AX104" s="132">
        <v>378</v>
      </c>
      <c r="AY104" s="132">
        <v>41</v>
      </c>
      <c r="AZ104" s="132">
        <v>0</v>
      </c>
      <c r="BA104" s="132">
        <v>479</v>
      </c>
      <c r="BB104" s="132">
        <v>419</v>
      </c>
      <c r="BC104" s="132">
        <v>479</v>
      </c>
      <c r="BD104" s="132">
        <v>0</v>
      </c>
      <c r="BE104" s="132">
        <v>60</v>
      </c>
      <c r="BF104" s="132">
        <v>0</v>
      </c>
      <c r="BG104" s="132">
        <v>4</v>
      </c>
      <c r="BH104" s="132">
        <v>66</v>
      </c>
      <c r="BI104" s="134">
        <v>1</v>
      </c>
      <c r="BJ104" s="134">
        <v>67</v>
      </c>
      <c r="BK104" s="134">
        <v>17</v>
      </c>
      <c r="BL104" s="134">
        <v>57</v>
      </c>
      <c r="BM104" s="134">
        <v>418</v>
      </c>
      <c r="BN104" s="134">
        <v>374</v>
      </c>
      <c r="BO104" s="134">
        <v>44</v>
      </c>
      <c r="BP104" s="134">
        <v>0</v>
      </c>
      <c r="BQ104" s="134">
        <v>475</v>
      </c>
      <c r="BR104" s="135">
        <v>7.1875000000000078E-2</v>
      </c>
      <c r="BS104" s="136">
        <v>22.39</v>
      </c>
      <c r="BT104" s="136">
        <v>21.39</v>
      </c>
      <c r="BU104" s="136">
        <v>21.39</v>
      </c>
      <c r="BV104" s="136">
        <v>23.39</v>
      </c>
      <c r="BW104" s="137">
        <v>0</v>
      </c>
      <c r="BX104" s="137">
        <v>0</v>
      </c>
      <c r="BY104" s="138">
        <v>0</v>
      </c>
    </row>
    <row r="105" spans="1:77">
      <c r="A105" s="130" t="s">
        <v>550</v>
      </c>
      <c r="B105" s="131" t="s">
        <v>551</v>
      </c>
      <c r="C105" s="132" t="s">
        <v>552</v>
      </c>
      <c r="D105" s="132" t="s">
        <v>143</v>
      </c>
      <c r="E105" s="133">
        <v>57.094444444444441</v>
      </c>
      <c r="F105" s="133">
        <v>1</v>
      </c>
      <c r="G105" s="134">
        <v>50</v>
      </c>
      <c r="H105" s="134">
        <v>308</v>
      </c>
      <c r="I105" s="134">
        <v>112</v>
      </c>
      <c r="J105" s="134">
        <v>56</v>
      </c>
      <c r="K105" s="134">
        <v>526</v>
      </c>
      <c r="L105" s="134">
        <v>476</v>
      </c>
      <c r="M105" s="134">
        <v>470</v>
      </c>
      <c r="N105" s="134">
        <v>1</v>
      </c>
      <c r="O105" s="132">
        <v>49.616666666666667</v>
      </c>
      <c r="P105" s="132">
        <v>49.005555555555553</v>
      </c>
      <c r="Q105" s="132">
        <v>49.894444444444446</v>
      </c>
      <c r="R105" s="132">
        <v>50.772222222222226</v>
      </c>
      <c r="S105" s="132">
        <v>51.9</v>
      </c>
      <c r="T105" s="132">
        <v>52.005555555555553</v>
      </c>
      <c r="U105" s="132">
        <v>52.827777777777776</v>
      </c>
      <c r="V105" s="132">
        <v>58.494444444444447</v>
      </c>
      <c r="W105" s="132">
        <v>53.716666666666669</v>
      </c>
      <c r="X105" s="132">
        <v>53.722222222222221</v>
      </c>
      <c r="Y105" s="132">
        <v>0</v>
      </c>
      <c r="Z105" s="132">
        <v>0</v>
      </c>
      <c r="AA105" s="132">
        <v>0</v>
      </c>
      <c r="AB105" s="132">
        <v>306.40555555555557</v>
      </c>
      <c r="AC105" s="132">
        <v>112.21111111111111</v>
      </c>
      <c r="AD105" s="132">
        <v>53.722222222222221</v>
      </c>
      <c r="AE105" s="132">
        <v>468.23333333333335</v>
      </c>
      <c r="AF105" s="132">
        <v>472.3388888888889</v>
      </c>
      <c r="AG105" s="132">
        <v>521.95555555555552</v>
      </c>
      <c r="AH105" s="133">
        <v>50.038888888888891</v>
      </c>
      <c r="AI105" s="133">
        <v>1</v>
      </c>
      <c r="AJ105" s="133">
        <v>51.038888888888891</v>
      </c>
      <c r="AK105" s="134">
        <v>50</v>
      </c>
      <c r="AL105" s="139">
        <v>51</v>
      </c>
      <c r="AM105" s="132">
        <v>50</v>
      </c>
      <c r="AN105" s="132">
        <v>50</v>
      </c>
      <c r="AO105" s="132">
        <v>52</v>
      </c>
      <c r="AP105" s="132">
        <v>53</v>
      </c>
      <c r="AQ105" s="132">
        <v>53</v>
      </c>
      <c r="AR105" s="132">
        <v>54</v>
      </c>
      <c r="AS105" s="132">
        <v>62</v>
      </c>
      <c r="AT105" s="132">
        <v>45</v>
      </c>
      <c r="AU105" s="132">
        <v>0</v>
      </c>
      <c r="AV105" s="132">
        <v>0</v>
      </c>
      <c r="AW105" s="132">
        <v>0</v>
      </c>
      <c r="AX105" s="132">
        <v>309</v>
      </c>
      <c r="AY105" s="132">
        <v>116</v>
      </c>
      <c r="AZ105" s="132">
        <v>45</v>
      </c>
      <c r="BA105" s="132">
        <v>475</v>
      </c>
      <c r="BB105" s="132">
        <v>470</v>
      </c>
      <c r="BC105" s="132">
        <v>520</v>
      </c>
      <c r="BD105" s="132">
        <v>36</v>
      </c>
      <c r="BE105" s="132">
        <v>14</v>
      </c>
      <c r="BF105" s="132">
        <v>0</v>
      </c>
      <c r="BG105" s="132">
        <v>44</v>
      </c>
      <c r="BH105" s="132">
        <v>45</v>
      </c>
      <c r="BI105" s="134">
        <v>2</v>
      </c>
      <c r="BJ105" s="134">
        <v>47</v>
      </c>
      <c r="BK105" s="134">
        <v>15</v>
      </c>
      <c r="BL105" s="134">
        <v>50</v>
      </c>
      <c r="BM105" s="134">
        <v>471</v>
      </c>
      <c r="BN105" s="134">
        <v>307</v>
      </c>
      <c r="BO105" s="134">
        <v>114</v>
      </c>
      <c r="BP105" s="134">
        <v>50</v>
      </c>
      <c r="BQ105" s="134">
        <v>521</v>
      </c>
      <c r="BR105" s="135">
        <v>7.7324469933959084E-2</v>
      </c>
      <c r="BS105" s="136">
        <v>29.785</v>
      </c>
      <c r="BT105" s="136">
        <v>28.285</v>
      </c>
      <c r="BU105" s="136">
        <v>28.285</v>
      </c>
      <c r="BV105" s="136">
        <v>29.785000000000004</v>
      </c>
      <c r="BW105" s="137">
        <v>0</v>
      </c>
      <c r="BX105" s="137">
        <v>0</v>
      </c>
      <c r="BY105" s="138">
        <v>0</v>
      </c>
    </row>
    <row r="106" spans="1:77">
      <c r="A106" s="130" t="s">
        <v>553</v>
      </c>
      <c r="B106" s="131" t="s">
        <v>554</v>
      </c>
      <c r="C106" s="132" t="s">
        <v>555</v>
      </c>
      <c r="D106" s="132" t="s">
        <v>143</v>
      </c>
      <c r="E106" s="133">
        <v>130.87222222222223</v>
      </c>
      <c r="F106" s="133">
        <v>7.7444444444444445</v>
      </c>
      <c r="G106" s="134">
        <v>121</v>
      </c>
      <c r="H106" s="134">
        <v>563</v>
      </c>
      <c r="I106" s="134">
        <v>170</v>
      </c>
      <c r="J106" s="134">
        <v>86</v>
      </c>
      <c r="K106" s="134">
        <v>940</v>
      </c>
      <c r="L106" s="134">
        <v>819</v>
      </c>
      <c r="M106" s="134">
        <v>854</v>
      </c>
      <c r="N106" s="134">
        <v>9</v>
      </c>
      <c r="O106" s="132">
        <v>119.35555555555555</v>
      </c>
      <c r="P106" s="132">
        <v>87.661111111111111</v>
      </c>
      <c r="Q106" s="132">
        <v>96.266666666666666</v>
      </c>
      <c r="R106" s="132">
        <v>91.327777777777783</v>
      </c>
      <c r="S106" s="132">
        <v>98.738888888888894</v>
      </c>
      <c r="T106" s="132">
        <v>97.761111111111106</v>
      </c>
      <c r="U106" s="132">
        <v>92.277777777777771</v>
      </c>
      <c r="V106" s="132">
        <v>93.988888888888894</v>
      </c>
      <c r="W106" s="132">
        <v>76.711111111111109</v>
      </c>
      <c r="X106" s="132">
        <v>84.422222222222217</v>
      </c>
      <c r="Y106" s="132">
        <v>0</v>
      </c>
      <c r="Z106" s="132">
        <v>0</v>
      </c>
      <c r="AA106" s="132">
        <v>0</v>
      </c>
      <c r="AB106" s="132">
        <v>564.0333333333333</v>
      </c>
      <c r="AC106" s="132">
        <v>170.7</v>
      </c>
      <c r="AD106" s="132">
        <v>84.422222222222217</v>
      </c>
      <c r="AE106" s="132">
        <v>854.08888888888896</v>
      </c>
      <c r="AF106" s="132">
        <v>819.15555555555557</v>
      </c>
      <c r="AG106" s="132">
        <v>938.51111111111118</v>
      </c>
      <c r="AH106" s="133">
        <v>128.82777777777778</v>
      </c>
      <c r="AI106" s="133">
        <v>7.9222222222222225</v>
      </c>
      <c r="AJ106" s="133">
        <v>136.75</v>
      </c>
      <c r="AK106" s="134">
        <v>115</v>
      </c>
      <c r="AL106" s="139">
        <v>115</v>
      </c>
      <c r="AM106" s="132">
        <v>91</v>
      </c>
      <c r="AN106" s="132">
        <v>101</v>
      </c>
      <c r="AO106" s="132">
        <v>105</v>
      </c>
      <c r="AP106" s="132">
        <v>98</v>
      </c>
      <c r="AQ106" s="132">
        <v>98</v>
      </c>
      <c r="AR106" s="132">
        <v>103</v>
      </c>
      <c r="AS106" s="132">
        <v>91</v>
      </c>
      <c r="AT106" s="132">
        <v>69</v>
      </c>
      <c r="AU106" s="132">
        <v>0</v>
      </c>
      <c r="AV106" s="132">
        <v>0</v>
      </c>
      <c r="AW106" s="132">
        <v>0</v>
      </c>
      <c r="AX106" s="132">
        <v>608</v>
      </c>
      <c r="AY106" s="132">
        <v>194</v>
      </c>
      <c r="AZ106" s="132">
        <v>69</v>
      </c>
      <c r="BA106" s="132">
        <v>917</v>
      </c>
      <c r="BB106" s="132">
        <v>871</v>
      </c>
      <c r="BC106" s="132">
        <v>986</v>
      </c>
      <c r="BD106" s="132">
        <v>100</v>
      </c>
      <c r="BE106" s="132">
        <v>15</v>
      </c>
      <c r="BF106" s="132">
        <v>0</v>
      </c>
      <c r="BG106" s="132">
        <v>204</v>
      </c>
      <c r="BH106" s="132">
        <v>144</v>
      </c>
      <c r="BI106" s="134">
        <v>5</v>
      </c>
      <c r="BJ106" s="134">
        <v>149</v>
      </c>
      <c r="BK106" s="134">
        <v>56</v>
      </c>
      <c r="BL106" s="134">
        <v>109</v>
      </c>
      <c r="BM106" s="134">
        <v>861</v>
      </c>
      <c r="BN106" s="134">
        <v>597</v>
      </c>
      <c r="BO106" s="134">
        <v>186</v>
      </c>
      <c r="BP106" s="134">
        <v>78</v>
      </c>
      <c r="BQ106" s="134">
        <v>970</v>
      </c>
      <c r="BR106" s="135">
        <v>6.5723947125729987E-2</v>
      </c>
      <c r="BS106" s="136">
        <v>60.515999999999998</v>
      </c>
      <c r="BT106" s="136">
        <v>58.515999999999998</v>
      </c>
      <c r="BU106" s="136">
        <v>57.515999999999998</v>
      </c>
      <c r="BV106" s="136">
        <v>59.515999999999998</v>
      </c>
      <c r="BW106" s="137">
        <v>0</v>
      </c>
      <c r="BX106" s="137">
        <v>0</v>
      </c>
      <c r="BY106" s="138">
        <v>0</v>
      </c>
    </row>
    <row r="107" spans="1:77">
      <c r="A107" s="130" t="s">
        <v>556</v>
      </c>
      <c r="B107" s="131" t="s">
        <v>557</v>
      </c>
      <c r="C107" s="132" t="s">
        <v>558</v>
      </c>
      <c r="D107" s="132" t="s">
        <v>143</v>
      </c>
      <c r="E107" s="133">
        <v>73.311111111111117</v>
      </c>
      <c r="F107" s="133">
        <v>7.916666666666667</v>
      </c>
      <c r="G107" s="134">
        <v>133</v>
      </c>
      <c r="H107" s="134">
        <v>771</v>
      </c>
      <c r="I107" s="134">
        <v>99</v>
      </c>
      <c r="J107" s="134">
        <v>0</v>
      </c>
      <c r="K107" s="134">
        <v>1003</v>
      </c>
      <c r="L107" s="134">
        <v>870</v>
      </c>
      <c r="M107" s="134">
        <v>1003</v>
      </c>
      <c r="N107" s="134">
        <v>12</v>
      </c>
      <c r="O107" s="132">
        <v>123.78333333333333</v>
      </c>
      <c r="P107" s="132">
        <v>128.11111111111111</v>
      </c>
      <c r="Q107" s="132">
        <v>137.37777777777777</v>
      </c>
      <c r="R107" s="132">
        <v>137.5611111111111</v>
      </c>
      <c r="S107" s="132">
        <v>117.74444444444444</v>
      </c>
      <c r="T107" s="132">
        <v>131.75</v>
      </c>
      <c r="U107" s="132">
        <v>103.41111111111111</v>
      </c>
      <c r="V107" s="132">
        <v>98.277777777777771</v>
      </c>
      <c r="W107" s="132">
        <v>0</v>
      </c>
      <c r="X107" s="132">
        <v>0</v>
      </c>
      <c r="Y107" s="132">
        <v>0</v>
      </c>
      <c r="Z107" s="132">
        <v>0</v>
      </c>
      <c r="AA107" s="132">
        <v>0</v>
      </c>
      <c r="AB107" s="132">
        <v>755.95555555555552</v>
      </c>
      <c r="AC107" s="132">
        <v>98.277777777777771</v>
      </c>
      <c r="AD107" s="132">
        <v>0</v>
      </c>
      <c r="AE107" s="132">
        <v>978.01666666666665</v>
      </c>
      <c r="AF107" s="132">
        <v>854.23333333333335</v>
      </c>
      <c r="AG107" s="132">
        <v>978.01666666666665</v>
      </c>
      <c r="AH107" s="133">
        <v>78.361111111111114</v>
      </c>
      <c r="AI107" s="133">
        <v>13.661111111111111</v>
      </c>
      <c r="AJ107" s="133">
        <v>92.022222222222226</v>
      </c>
      <c r="AK107" s="134">
        <v>135</v>
      </c>
      <c r="AL107" s="139">
        <v>133</v>
      </c>
      <c r="AM107" s="132">
        <v>131</v>
      </c>
      <c r="AN107" s="132">
        <v>135</v>
      </c>
      <c r="AO107" s="132">
        <v>130</v>
      </c>
      <c r="AP107" s="132">
        <v>121</v>
      </c>
      <c r="AQ107" s="132">
        <v>115</v>
      </c>
      <c r="AR107" s="132">
        <v>96</v>
      </c>
      <c r="AS107" s="132">
        <v>0</v>
      </c>
      <c r="AT107" s="132">
        <v>0</v>
      </c>
      <c r="AU107" s="132">
        <v>0</v>
      </c>
      <c r="AV107" s="132">
        <v>0</v>
      </c>
      <c r="AW107" s="132">
        <v>0</v>
      </c>
      <c r="AX107" s="132">
        <v>765</v>
      </c>
      <c r="AY107" s="132">
        <v>96</v>
      </c>
      <c r="AZ107" s="132">
        <v>0</v>
      </c>
      <c r="BA107" s="132">
        <v>996</v>
      </c>
      <c r="BB107" s="132">
        <v>861</v>
      </c>
      <c r="BC107" s="132">
        <v>996</v>
      </c>
      <c r="BD107" s="132">
        <v>135</v>
      </c>
      <c r="BE107" s="132">
        <v>0</v>
      </c>
      <c r="BF107" s="132">
        <v>0</v>
      </c>
      <c r="BG107" s="132">
        <v>231</v>
      </c>
      <c r="BH107" s="132">
        <v>89</v>
      </c>
      <c r="BI107" s="134">
        <v>15</v>
      </c>
      <c r="BJ107" s="134">
        <v>104</v>
      </c>
      <c r="BK107" s="134">
        <v>27</v>
      </c>
      <c r="BL107" s="134">
        <v>129</v>
      </c>
      <c r="BM107" s="134">
        <v>867</v>
      </c>
      <c r="BN107" s="134">
        <v>771</v>
      </c>
      <c r="BO107" s="134">
        <v>96</v>
      </c>
      <c r="BP107" s="134">
        <v>0</v>
      </c>
      <c r="BQ107" s="134">
        <v>996</v>
      </c>
      <c r="BR107" s="135">
        <v>6.2838491295938215E-2</v>
      </c>
      <c r="BS107" s="136">
        <v>55.625</v>
      </c>
      <c r="BT107" s="136">
        <v>51.625</v>
      </c>
      <c r="BU107" s="136">
        <v>47.625</v>
      </c>
      <c r="BV107" s="136">
        <v>53.625</v>
      </c>
      <c r="BW107" s="137">
        <v>0</v>
      </c>
      <c r="BX107" s="137">
        <v>0</v>
      </c>
      <c r="BY107" s="138">
        <v>0</v>
      </c>
    </row>
    <row r="108" spans="1:77">
      <c r="A108" s="130" t="s">
        <v>559</v>
      </c>
      <c r="B108" s="131" t="s">
        <v>560</v>
      </c>
      <c r="C108" s="132" t="s">
        <v>561</v>
      </c>
      <c r="D108" s="132" t="s">
        <v>143</v>
      </c>
      <c r="E108" s="133">
        <v>51.594444444444441</v>
      </c>
      <c r="F108" s="133">
        <v>5.7222222222222223</v>
      </c>
      <c r="G108" s="134">
        <v>48</v>
      </c>
      <c r="H108" s="134">
        <v>311</v>
      </c>
      <c r="I108" s="134">
        <v>0</v>
      </c>
      <c r="J108" s="134">
        <v>0</v>
      </c>
      <c r="K108" s="134">
        <v>359</v>
      </c>
      <c r="L108" s="134">
        <v>311</v>
      </c>
      <c r="M108" s="134">
        <v>359</v>
      </c>
      <c r="N108" s="134">
        <v>4</v>
      </c>
      <c r="O108" s="132">
        <v>47.972222222222221</v>
      </c>
      <c r="P108" s="132">
        <v>49</v>
      </c>
      <c r="Q108" s="132">
        <v>49.544444444444444</v>
      </c>
      <c r="R108" s="132">
        <v>51.62222222222222</v>
      </c>
      <c r="S108" s="132">
        <v>50.577777777777776</v>
      </c>
      <c r="T108" s="132">
        <v>54</v>
      </c>
      <c r="U108" s="132">
        <v>50.677777777777777</v>
      </c>
      <c r="V108" s="132">
        <v>0</v>
      </c>
      <c r="W108" s="132">
        <v>0</v>
      </c>
      <c r="X108" s="132">
        <v>0</v>
      </c>
      <c r="Y108" s="132">
        <v>0</v>
      </c>
      <c r="Z108" s="132">
        <v>0</v>
      </c>
      <c r="AA108" s="132">
        <v>0</v>
      </c>
      <c r="AB108" s="132">
        <v>305.42222222222222</v>
      </c>
      <c r="AC108" s="132">
        <v>0</v>
      </c>
      <c r="AD108" s="132">
        <v>0</v>
      </c>
      <c r="AE108" s="132">
        <v>353.3944444444445</v>
      </c>
      <c r="AF108" s="132">
        <v>305.42222222222222</v>
      </c>
      <c r="AG108" s="132">
        <v>353.3944444444445</v>
      </c>
      <c r="AH108" s="133">
        <v>58.25</v>
      </c>
      <c r="AI108" s="133">
        <v>4.4444444444444446</v>
      </c>
      <c r="AJ108" s="133">
        <v>62.694444444444443</v>
      </c>
      <c r="AK108" s="134">
        <v>48</v>
      </c>
      <c r="AL108" s="139">
        <v>48</v>
      </c>
      <c r="AM108" s="132">
        <v>50</v>
      </c>
      <c r="AN108" s="132">
        <v>52</v>
      </c>
      <c r="AO108" s="132">
        <v>52</v>
      </c>
      <c r="AP108" s="132">
        <v>54</v>
      </c>
      <c r="AQ108" s="132">
        <v>54</v>
      </c>
      <c r="AR108" s="132">
        <v>0</v>
      </c>
      <c r="AS108" s="132">
        <v>0</v>
      </c>
      <c r="AT108" s="132">
        <v>0</v>
      </c>
      <c r="AU108" s="132">
        <v>0</v>
      </c>
      <c r="AV108" s="132">
        <v>0</v>
      </c>
      <c r="AW108" s="132">
        <v>0</v>
      </c>
      <c r="AX108" s="132">
        <v>310</v>
      </c>
      <c r="AY108" s="132">
        <v>0</v>
      </c>
      <c r="AZ108" s="132">
        <v>0</v>
      </c>
      <c r="BA108" s="132">
        <v>358</v>
      </c>
      <c r="BB108" s="132">
        <v>310</v>
      </c>
      <c r="BC108" s="132">
        <v>358</v>
      </c>
      <c r="BD108" s="132">
        <v>47</v>
      </c>
      <c r="BE108" s="132">
        <v>1</v>
      </c>
      <c r="BF108" s="132">
        <v>0</v>
      </c>
      <c r="BG108" s="132">
        <v>77</v>
      </c>
      <c r="BH108" s="132">
        <v>62</v>
      </c>
      <c r="BI108" s="134">
        <v>3</v>
      </c>
      <c r="BJ108" s="134">
        <v>65</v>
      </c>
      <c r="BK108" s="134">
        <v>5</v>
      </c>
      <c r="BL108" s="134">
        <v>48</v>
      </c>
      <c r="BM108" s="134">
        <v>310</v>
      </c>
      <c r="BN108" s="134">
        <v>310</v>
      </c>
      <c r="BO108" s="134">
        <v>0</v>
      </c>
      <c r="BP108" s="134">
        <v>0</v>
      </c>
      <c r="BQ108" s="134">
        <v>358</v>
      </c>
      <c r="BR108" s="135">
        <v>0.10797872340425529</v>
      </c>
      <c r="BS108" s="136">
        <v>22.75</v>
      </c>
      <c r="BT108" s="136">
        <v>21.25</v>
      </c>
      <c r="BU108" s="136">
        <v>20.5</v>
      </c>
      <c r="BV108" s="136">
        <v>22.75</v>
      </c>
      <c r="BW108" s="137">
        <v>0</v>
      </c>
      <c r="BX108" s="137">
        <v>0</v>
      </c>
      <c r="BY108" s="138">
        <v>0</v>
      </c>
    </row>
    <row r="109" spans="1:77">
      <c r="A109" s="130" t="s">
        <v>562</v>
      </c>
      <c r="B109" s="131" t="s">
        <v>563</v>
      </c>
      <c r="C109" s="132" t="s">
        <v>564</v>
      </c>
      <c r="D109" s="132" t="s">
        <v>143</v>
      </c>
      <c r="E109" s="133">
        <v>348.48888888888888</v>
      </c>
      <c r="F109" s="133">
        <v>36.916666666666664</v>
      </c>
      <c r="G109" s="134">
        <v>58</v>
      </c>
      <c r="H109" s="134">
        <v>551</v>
      </c>
      <c r="I109" s="134">
        <v>319</v>
      </c>
      <c r="J109" s="134">
        <v>866</v>
      </c>
      <c r="K109" s="134">
        <v>1794</v>
      </c>
      <c r="L109" s="134">
        <v>1736</v>
      </c>
      <c r="M109" s="134">
        <v>928</v>
      </c>
      <c r="N109" s="134">
        <v>35</v>
      </c>
      <c r="O109" s="132">
        <v>55.077777777777776</v>
      </c>
      <c r="P109" s="132">
        <v>83.822222222222223</v>
      </c>
      <c r="Q109" s="132">
        <v>70.683333333333337</v>
      </c>
      <c r="R109" s="132">
        <v>78.483333333333334</v>
      </c>
      <c r="S109" s="132">
        <v>86.12777777777778</v>
      </c>
      <c r="T109" s="132">
        <v>100.86111111111111</v>
      </c>
      <c r="U109" s="132">
        <v>129.80000000000001</v>
      </c>
      <c r="V109" s="132">
        <v>140.6888888888889</v>
      </c>
      <c r="W109" s="132">
        <v>192.87777777777777</v>
      </c>
      <c r="X109" s="132">
        <v>202.51111111111112</v>
      </c>
      <c r="Y109" s="132">
        <v>202.78888888888889</v>
      </c>
      <c r="Z109" s="132">
        <v>225.00555555555556</v>
      </c>
      <c r="AA109" s="132">
        <v>177.15</v>
      </c>
      <c r="AB109" s="132">
        <v>549.77777777777783</v>
      </c>
      <c r="AC109" s="132">
        <v>333.56666666666666</v>
      </c>
      <c r="AD109" s="132">
        <v>807.45555555555552</v>
      </c>
      <c r="AE109" s="132">
        <v>938.42222222222222</v>
      </c>
      <c r="AF109" s="132">
        <v>1690.8000000000002</v>
      </c>
      <c r="AG109" s="132">
        <v>1745.8777777777777</v>
      </c>
      <c r="AH109" s="133">
        <v>345.49444444444447</v>
      </c>
      <c r="AI109" s="133">
        <v>32.966666666666669</v>
      </c>
      <c r="AJ109" s="133">
        <v>378.46111111111111</v>
      </c>
      <c r="AK109" s="134">
        <v>71</v>
      </c>
      <c r="AL109" s="139">
        <v>64</v>
      </c>
      <c r="AM109" s="132">
        <v>88</v>
      </c>
      <c r="AN109" s="132">
        <v>83</v>
      </c>
      <c r="AO109" s="132">
        <v>93</v>
      </c>
      <c r="AP109" s="132">
        <v>95</v>
      </c>
      <c r="AQ109" s="132">
        <v>109</v>
      </c>
      <c r="AR109" s="132">
        <v>145</v>
      </c>
      <c r="AS109" s="132">
        <v>181</v>
      </c>
      <c r="AT109" s="132">
        <v>178</v>
      </c>
      <c r="AU109" s="132">
        <v>207</v>
      </c>
      <c r="AV109" s="132">
        <v>238</v>
      </c>
      <c r="AW109" s="132">
        <v>193</v>
      </c>
      <c r="AX109" s="132">
        <v>532</v>
      </c>
      <c r="AY109" s="132">
        <v>326</v>
      </c>
      <c r="AZ109" s="132">
        <v>816</v>
      </c>
      <c r="BA109" s="132">
        <v>929</v>
      </c>
      <c r="BB109" s="132">
        <v>1674</v>
      </c>
      <c r="BC109" s="132">
        <v>1745</v>
      </c>
      <c r="BD109" s="132">
        <v>67</v>
      </c>
      <c r="BE109" s="132">
        <v>4</v>
      </c>
      <c r="BF109" s="132">
        <v>0</v>
      </c>
      <c r="BG109" s="132">
        <v>938</v>
      </c>
      <c r="BH109" s="132">
        <v>307</v>
      </c>
      <c r="BI109" s="134">
        <v>36</v>
      </c>
      <c r="BJ109" s="134">
        <v>343</v>
      </c>
      <c r="BK109" s="134">
        <v>81</v>
      </c>
      <c r="BL109" s="134">
        <v>75</v>
      </c>
      <c r="BM109" s="134">
        <v>1669</v>
      </c>
      <c r="BN109" s="134">
        <v>545</v>
      </c>
      <c r="BO109" s="134">
        <v>307</v>
      </c>
      <c r="BP109" s="134">
        <v>817</v>
      </c>
      <c r="BQ109" s="134">
        <v>1744</v>
      </c>
      <c r="BR109" s="135">
        <v>7.9409515408519815E-2</v>
      </c>
      <c r="BS109" s="136">
        <v>125.45099999999999</v>
      </c>
      <c r="BT109" s="136">
        <v>123.45099999999999</v>
      </c>
      <c r="BU109" s="136">
        <v>121</v>
      </c>
      <c r="BV109" s="136">
        <v>123</v>
      </c>
      <c r="BW109" s="137">
        <v>1620</v>
      </c>
      <c r="BX109" s="137">
        <v>990</v>
      </c>
      <c r="BY109" s="138">
        <v>1433.7722220000001</v>
      </c>
    </row>
    <row r="110" spans="1:77">
      <c r="A110" s="130" t="s">
        <v>565</v>
      </c>
      <c r="B110" s="131" t="s">
        <v>566</v>
      </c>
      <c r="C110" s="132" t="s">
        <v>567</v>
      </c>
      <c r="D110" s="132" t="s">
        <v>143</v>
      </c>
      <c r="E110" s="133">
        <v>42.783333333333331</v>
      </c>
      <c r="F110" s="133">
        <v>1.2388888888888889</v>
      </c>
      <c r="G110" s="134">
        <v>94</v>
      </c>
      <c r="H110" s="134">
        <v>513</v>
      </c>
      <c r="I110" s="134">
        <v>48</v>
      </c>
      <c r="J110" s="134">
        <v>0</v>
      </c>
      <c r="K110" s="134">
        <v>655</v>
      </c>
      <c r="L110" s="134">
        <v>561</v>
      </c>
      <c r="M110" s="134">
        <v>655</v>
      </c>
      <c r="N110" s="134">
        <v>2</v>
      </c>
      <c r="O110" s="132">
        <v>95.694444444444443</v>
      </c>
      <c r="P110" s="132">
        <v>94.277777777777771</v>
      </c>
      <c r="Q110" s="132">
        <v>99.25555555555556</v>
      </c>
      <c r="R110" s="132">
        <v>85.322222222222223</v>
      </c>
      <c r="S110" s="132">
        <v>96.688888888888883</v>
      </c>
      <c r="T110" s="132">
        <v>68.677777777777777</v>
      </c>
      <c r="U110" s="132">
        <v>60.966666666666669</v>
      </c>
      <c r="V110" s="132">
        <v>29.427777777777777</v>
      </c>
      <c r="W110" s="132">
        <v>16.649999999999999</v>
      </c>
      <c r="X110" s="132">
        <v>0</v>
      </c>
      <c r="Y110" s="132">
        <v>0</v>
      </c>
      <c r="Z110" s="132">
        <v>0</v>
      </c>
      <c r="AA110" s="132">
        <v>0</v>
      </c>
      <c r="AB110" s="132">
        <v>505.18888888888887</v>
      </c>
      <c r="AC110" s="132">
        <v>46.077777777777776</v>
      </c>
      <c r="AD110" s="132">
        <v>0</v>
      </c>
      <c r="AE110" s="132">
        <v>646.96111111111111</v>
      </c>
      <c r="AF110" s="132">
        <v>551.26666666666665</v>
      </c>
      <c r="AG110" s="132">
        <v>646.96111111111111</v>
      </c>
      <c r="AH110" s="133">
        <v>59.255555555555553</v>
      </c>
      <c r="AI110" s="133">
        <v>2</v>
      </c>
      <c r="AJ110" s="133">
        <v>61.255555555555553</v>
      </c>
      <c r="AK110" s="134">
        <v>89</v>
      </c>
      <c r="AL110" s="139">
        <v>112</v>
      </c>
      <c r="AM110" s="132">
        <v>104</v>
      </c>
      <c r="AN110" s="132">
        <v>94</v>
      </c>
      <c r="AO110" s="132">
        <v>79</v>
      </c>
      <c r="AP110" s="132">
        <v>93</v>
      </c>
      <c r="AQ110" s="132">
        <v>67</v>
      </c>
      <c r="AR110" s="132">
        <v>33</v>
      </c>
      <c r="AS110" s="132">
        <v>21</v>
      </c>
      <c r="AT110" s="132">
        <v>0</v>
      </c>
      <c r="AU110" s="132">
        <v>0</v>
      </c>
      <c r="AV110" s="132">
        <v>0</v>
      </c>
      <c r="AW110" s="132">
        <v>0</v>
      </c>
      <c r="AX110" s="132">
        <v>549</v>
      </c>
      <c r="AY110" s="132">
        <v>54</v>
      </c>
      <c r="AZ110" s="132">
        <v>0</v>
      </c>
      <c r="BA110" s="132">
        <v>692</v>
      </c>
      <c r="BB110" s="132">
        <v>603</v>
      </c>
      <c r="BC110" s="132">
        <v>692</v>
      </c>
      <c r="BD110" s="132">
        <v>89</v>
      </c>
      <c r="BE110" s="132">
        <v>0</v>
      </c>
      <c r="BF110" s="132">
        <v>0</v>
      </c>
      <c r="BG110" s="132">
        <v>75</v>
      </c>
      <c r="BH110" s="132">
        <v>61</v>
      </c>
      <c r="BI110" s="134">
        <v>3</v>
      </c>
      <c r="BJ110" s="134">
        <v>64</v>
      </c>
      <c r="BK110" s="134">
        <v>1</v>
      </c>
      <c r="BL110" s="134">
        <v>89</v>
      </c>
      <c r="BM110" s="134">
        <v>603</v>
      </c>
      <c r="BN110" s="134">
        <v>545</v>
      </c>
      <c r="BO110" s="134">
        <v>58</v>
      </c>
      <c r="BP110" s="134">
        <v>0</v>
      </c>
      <c r="BQ110" s="134">
        <v>692</v>
      </c>
      <c r="BR110" s="135">
        <v>6.4472840230180017E-2</v>
      </c>
      <c r="BS110" s="136">
        <v>26.838999999999999</v>
      </c>
      <c r="BT110" s="136">
        <v>25.838999999999999</v>
      </c>
      <c r="BU110" s="136">
        <v>25.838999999999999</v>
      </c>
      <c r="BV110" s="136">
        <v>29.839000000000002</v>
      </c>
      <c r="BW110" s="137">
        <v>0</v>
      </c>
      <c r="BX110" s="137">
        <v>0</v>
      </c>
      <c r="BY110" s="138">
        <v>0</v>
      </c>
    </row>
    <row r="111" spans="1:77">
      <c r="A111" s="130" t="s">
        <v>568</v>
      </c>
      <c r="B111" s="131" t="s">
        <v>569</v>
      </c>
      <c r="C111" s="132" t="s">
        <v>570</v>
      </c>
      <c r="D111" s="132" t="s">
        <v>143</v>
      </c>
      <c r="E111" s="133">
        <v>82.044444444444451</v>
      </c>
      <c r="F111" s="133">
        <v>1.9111111111111112</v>
      </c>
      <c r="G111" s="134">
        <v>59</v>
      </c>
      <c r="H111" s="134">
        <v>326</v>
      </c>
      <c r="I111" s="134">
        <v>195</v>
      </c>
      <c r="J111" s="134">
        <v>101</v>
      </c>
      <c r="K111" s="134">
        <v>681</v>
      </c>
      <c r="L111" s="134">
        <v>622</v>
      </c>
      <c r="M111" s="134">
        <v>580</v>
      </c>
      <c r="N111" s="134">
        <v>3</v>
      </c>
      <c r="O111" s="132">
        <v>58</v>
      </c>
      <c r="P111" s="132">
        <v>50.022222222222226</v>
      </c>
      <c r="Q111" s="132">
        <v>46.655555555555559</v>
      </c>
      <c r="R111" s="132">
        <v>54.972222222222221</v>
      </c>
      <c r="S111" s="132">
        <v>50.955555555555556</v>
      </c>
      <c r="T111" s="132">
        <v>51.072222222222223</v>
      </c>
      <c r="U111" s="132">
        <v>61.261111111111113</v>
      </c>
      <c r="V111" s="132">
        <v>91.35</v>
      </c>
      <c r="W111" s="132">
        <v>101.26666666666667</v>
      </c>
      <c r="X111" s="132">
        <v>94.172222222222217</v>
      </c>
      <c r="Y111" s="132">
        <v>0</v>
      </c>
      <c r="Z111" s="132">
        <v>0</v>
      </c>
      <c r="AA111" s="132">
        <v>0</v>
      </c>
      <c r="AB111" s="132">
        <v>314.93888888888887</v>
      </c>
      <c r="AC111" s="132">
        <v>192.61666666666667</v>
      </c>
      <c r="AD111" s="132">
        <v>94.172222222222217</v>
      </c>
      <c r="AE111" s="132">
        <v>565.55555555555554</v>
      </c>
      <c r="AF111" s="132">
        <v>601.72777777777776</v>
      </c>
      <c r="AG111" s="132">
        <v>659.72777777777776</v>
      </c>
      <c r="AH111" s="133">
        <v>74.583333333333329</v>
      </c>
      <c r="AI111" s="133">
        <v>2.8</v>
      </c>
      <c r="AJ111" s="133">
        <v>77.383333333333326</v>
      </c>
      <c r="AK111" s="134">
        <v>46</v>
      </c>
      <c r="AL111" s="139">
        <v>68</v>
      </c>
      <c r="AM111" s="132">
        <v>51</v>
      </c>
      <c r="AN111" s="132">
        <v>51</v>
      </c>
      <c r="AO111" s="132">
        <v>51</v>
      </c>
      <c r="AP111" s="132">
        <v>53</v>
      </c>
      <c r="AQ111" s="132">
        <v>55</v>
      </c>
      <c r="AR111" s="132">
        <v>86</v>
      </c>
      <c r="AS111" s="132">
        <v>104</v>
      </c>
      <c r="AT111" s="132">
        <v>101</v>
      </c>
      <c r="AU111" s="132">
        <v>0</v>
      </c>
      <c r="AV111" s="132">
        <v>0</v>
      </c>
      <c r="AW111" s="132">
        <v>0</v>
      </c>
      <c r="AX111" s="132">
        <v>329</v>
      </c>
      <c r="AY111" s="132">
        <v>190</v>
      </c>
      <c r="AZ111" s="132">
        <v>101</v>
      </c>
      <c r="BA111" s="132">
        <v>565</v>
      </c>
      <c r="BB111" s="132">
        <v>620</v>
      </c>
      <c r="BC111" s="132">
        <v>666</v>
      </c>
      <c r="BD111" s="132">
        <v>46</v>
      </c>
      <c r="BE111" s="132">
        <v>0</v>
      </c>
      <c r="BF111" s="132">
        <v>0</v>
      </c>
      <c r="BG111" s="132">
        <v>21</v>
      </c>
      <c r="BH111" s="132">
        <v>82</v>
      </c>
      <c r="BI111" s="134">
        <v>1</v>
      </c>
      <c r="BJ111" s="134">
        <v>83</v>
      </c>
      <c r="BK111" s="134">
        <v>5</v>
      </c>
      <c r="BL111" s="134">
        <v>50</v>
      </c>
      <c r="BM111" s="134">
        <v>615</v>
      </c>
      <c r="BN111" s="134">
        <v>323</v>
      </c>
      <c r="BO111" s="134">
        <v>191</v>
      </c>
      <c r="BP111" s="134">
        <v>101</v>
      </c>
      <c r="BQ111" s="134">
        <v>665</v>
      </c>
      <c r="BR111" s="135">
        <v>7.7049616396931309E-2</v>
      </c>
      <c r="BS111" s="136">
        <v>38.299999999999997</v>
      </c>
      <c r="BT111" s="136">
        <v>37</v>
      </c>
      <c r="BU111" s="136">
        <v>36</v>
      </c>
      <c r="BV111" s="136">
        <v>38.299999999999997</v>
      </c>
      <c r="BW111" s="137">
        <v>0</v>
      </c>
      <c r="BX111" s="137">
        <v>0</v>
      </c>
      <c r="BY111" s="138">
        <v>0</v>
      </c>
    </row>
    <row r="112" spans="1:77">
      <c r="A112" s="130" t="s">
        <v>571</v>
      </c>
      <c r="B112" s="131" t="s">
        <v>572</v>
      </c>
      <c r="C112" s="132" t="s">
        <v>573</v>
      </c>
      <c r="D112" s="132" t="s">
        <v>143</v>
      </c>
      <c r="E112" s="133">
        <v>72.011111111111106</v>
      </c>
      <c r="F112" s="133">
        <v>0.21111111111111111</v>
      </c>
      <c r="G112" s="134">
        <v>69</v>
      </c>
      <c r="H112" s="134">
        <v>453</v>
      </c>
      <c r="I112" s="134">
        <v>0</v>
      </c>
      <c r="J112" s="134">
        <v>0</v>
      </c>
      <c r="K112" s="134">
        <v>522</v>
      </c>
      <c r="L112" s="134">
        <v>453</v>
      </c>
      <c r="M112" s="134">
        <v>522</v>
      </c>
      <c r="N112" s="134">
        <v>0</v>
      </c>
      <c r="O112" s="132">
        <v>68.388888888888886</v>
      </c>
      <c r="P112" s="132">
        <v>83.738888888888894</v>
      </c>
      <c r="Q112" s="132">
        <v>76.316666666666663</v>
      </c>
      <c r="R112" s="132">
        <v>74.038888888888891</v>
      </c>
      <c r="S112" s="132">
        <v>76.166666666666671</v>
      </c>
      <c r="T112" s="132">
        <v>69.349999999999994</v>
      </c>
      <c r="U112" s="132">
        <v>73.677777777777777</v>
      </c>
      <c r="V112" s="132">
        <v>0</v>
      </c>
      <c r="W112" s="132">
        <v>0</v>
      </c>
      <c r="X112" s="132">
        <v>0</v>
      </c>
      <c r="Y112" s="132">
        <v>0</v>
      </c>
      <c r="Z112" s="132">
        <v>0</v>
      </c>
      <c r="AA112" s="132">
        <v>0</v>
      </c>
      <c r="AB112" s="132">
        <v>453.28888888888889</v>
      </c>
      <c r="AC112" s="132">
        <v>0</v>
      </c>
      <c r="AD112" s="132">
        <v>0</v>
      </c>
      <c r="AE112" s="132">
        <v>521.67777777777781</v>
      </c>
      <c r="AF112" s="132">
        <v>453.28888888888889</v>
      </c>
      <c r="AG112" s="132">
        <v>521.67777777777781</v>
      </c>
      <c r="AH112" s="133">
        <v>74.25</v>
      </c>
      <c r="AI112" s="133">
        <v>0</v>
      </c>
      <c r="AJ112" s="133">
        <v>74.25</v>
      </c>
      <c r="AK112" s="134">
        <v>82</v>
      </c>
      <c r="AL112" s="139">
        <v>70</v>
      </c>
      <c r="AM112" s="132">
        <v>83</v>
      </c>
      <c r="AN112" s="132">
        <v>81</v>
      </c>
      <c r="AO112" s="132">
        <v>77</v>
      </c>
      <c r="AP112" s="132">
        <v>69</v>
      </c>
      <c r="AQ112" s="132">
        <v>70</v>
      </c>
      <c r="AR112" s="132">
        <v>0</v>
      </c>
      <c r="AS112" s="132">
        <v>0</v>
      </c>
      <c r="AT112" s="132">
        <v>0</v>
      </c>
      <c r="AU112" s="132">
        <v>0</v>
      </c>
      <c r="AV112" s="132">
        <v>0</v>
      </c>
      <c r="AW112" s="132">
        <v>0</v>
      </c>
      <c r="AX112" s="132">
        <v>450</v>
      </c>
      <c r="AY112" s="132">
        <v>0</v>
      </c>
      <c r="AZ112" s="132">
        <v>0</v>
      </c>
      <c r="BA112" s="132">
        <v>532</v>
      </c>
      <c r="BB112" s="132">
        <v>450</v>
      </c>
      <c r="BC112" s="132">
        <v>532</v>
      </c>
      <c r="BD112" s="132">
        <v>42</v>
      </c>
      <c r="BE112" s="132">
        <v>40</v>
      </c>
      <c r="BF112" s="132">
        <v>0</v>
      </c>
      <c r="BG112" s="132">
        <v>149</v>
      </c>
      <c r="BH112" s="132">
        <v>79</v>
      </c>
      <c r="BI112" s="134">
        <v>0</v>
      </c>
      <c r="BJ112" s="134">
        <v>79</v>
      </c>
      <c r="BK112" s="134">
        <v>7</v>
      </c>
      <c r="BL112" s="134">
        <v>75</v>
      </c>
      <c r="BM112" s="134">
        <v>450</v>
      </c>
      <c r="BN112" s="134">
        <v>450</v>
      </c>
      <c r="BO112" s="134">
        <v>0</v>
      </c>
      <c r="BP112" s="134">
        <v>0</v>
      </c>
      <c r="BQ112" s="134">
        <v>525</v>
      </c>
      <c r="BR112" s="135">
        <v>7.03125E-2</v>
      </c>
      <c r="BS112" s="136">
        <v>25.125</v>
      </c>
      <c r="BT112" s="136">
        <v>24.125</v>
      </c>
      <c r="BU112" s="136">
        <v>24.125</v>
      </c>
      <c r="BV112" s="136">
        <v>27.125</v>
      </c>
      <c r="BW112" s="137">
        <v>0</v>
      </c>
      <c r="BX112" s="137">
        <v>0</v>
      </c>
      <c r="BY112" s="138">
        <v>0</v>
      </c>
    </row>
    <row r="113" spans="1:77">
      <c r="A113" s="130" t="s">
        <v>574</v>
      </c>
      <c r="B113" s="131" t="s">
        <v>575</v>
      </c>
      <c r="C113" s="132" t="s">
        <v>576</v>
      </c>
      <c r="D113" s="132" t="s">
        <v>143</v>
      </c>
      <c r="E113" s="133">
        <v>67.805555555555557</v>
      </c>
      <c r="F113" s="133">
        <v>3.3111111111111109</v>
      </c>
      <c r="G113" s="134">
        <v>48</v>
      </c>
      <c r="H113" s="134">
        <v>314</v>
      </c>
      <c r="I113" s="134">
        <v>74</v>
      </c>
      <c r="J113" s="134">
        <v>27</v>
      </c>
      <c r="K113" s="134">
        <v>463</v>
      </c>
      <c r="L113" s="134">
        <v>415</v>
      </c>
      <c r="M113" s="134">
        <v>436</v>
      </c>
      <c r="N113" s="134">
        <v>3</v>
      </c>
      <c r="O113" s="132">
        <v>48.75</v>
      </c>
      <c r="P113" s="132">
        <v>51.18333333333333</v>
      </c>
      <c r="Q113" s="132">
        <v>49.93888888888889</v>
      </c>
      <c r="R113" s="132">
        <v>53.783333333333331</v>
      </c>
      <c r="S113" s="132">
        <v>52.93888888888889</v>
      </c>
      <c r="T113" s="132">
        <v>54.038888888888891</v>
      </c>
      <c r="U113" s="132">
        <v>44.322222222222223</v>
      </c>
      <c r="V113" s="132">
        <v>42.944444444444443</v>
      </c>
      <c r="W113" s="132">
        <v>28.627777777777776</v>
      </c>
      <c r="X113" s="132">
        <v>27.05</v>
      </c>
      <c r="Y113" s="132">
        <v>0</v>
      </c>
      <c r="Z113" s="132">
        <v>0</v>
      </c>
      <c r="AA113" s="132">
        <v>0</v>
      </c>
      <c r="AB113" s="132">
        <v>306.20555555555552</v>
      </c>
      <c r="AC113" s="132">
        <v>71.572222222222223</v>
      </c>
      <c r="AD113" s="132">
        <v>27.05</v>
      </c>
      <c r="AE113" s="132">
        <v>426.52777777777777</v>
      </c>
      <c r="AF113" s="132">
        <v>404.82777777777778</v>
      </c>
      <c r="AG113" s="132">
        <v>453.57777777777778</v>
      </c>
      <c r="AH113" s="133">
        <v>66.444444444444443</v>
      </c>
      <c r="AI113" s="133">
        <v>1.3277777777777777</v>
      </c>
      <c r="AJ113" s="133">
        <v>67.772222222222226</v>
      </c>
      <c r="AK113" s="134">
        <v>69</v>
      </c>
      <c r="AL113" s="139">
        <v>47</v>
      </c>
      <c r="AM113" s="132">
        <v>51</v>
      </c>
      <c r="AN113" s="132">
        <v>57</v>
      </c>
      <c r="AO113" s="132">
        <v>52</v>
      </c>
      <c r="AP113" s="132">
        <v>53</v>
      </c>
      <c r="AQ113" s="132">
        <v>55</v>
      </c>
      <c r="AR113" s="132">
        <v>21</v>
      </c>
      <c r="AS113" s="132">
        <v>37</v>
      </c>
      <c r="AT113" s="132">
        <v>21</v>
      </c>
      <c r="AU113" s="132">
        <v>0</v>
      </c>
      <c r="AV113" s="132">
        <v>0</v>
      </c>
      <c r="AW113" s="132">
        <v>0</v>
      </c>
      <c r="AX113" s="132">
        <v>315</v>
      </c>
      <c r="AY113" s="132">
        <v>58</v>
      </c>
      <c r="AZ113" s="132">
        <v>21</v>
      </c>
      <c r="BA113" s="132">
        <v>442</v>
      </c>
      <c r="BB113" s="132">
        <v>394</v>
      </c>
      <c r="BC113" s="132">
        <v>463</v>
      </c>
      <c r="BD113" s="132">
        <v>25</v>
      </c>
      <c r="BE113" s="132">
        <v>44</v>
      </c>
      <c r="BF113" s="132">
        <v>0</v>
      </c>
      <c r="BG113" s="132">
        <v>78</v>
      </c>
      <c r="BH113" s="132">
        <v>68</v>
      </c>
      <c r="BI113" s="134">
        <v>2</v>
      </c>
      <c r="BJ113" s="134">
        <v>70</v>
      </c>
      <c r="BK113" s="134">
        <v>14</v>
      </c>
      <c r="BL113" s="134">
        <v>70</v>
      </c>
      <c r="BM113" s="134">
        <v>392</v>
      </c>
      <c r="BN113" s="134">
        <v>309</v>
      </c>
      <c r="BO113" s="134">
        <v>57</v>
      </c>
      <c r="BP113" s="134">
        <v>26</v>
      </c>
      <c r="BQ113" s="134">
        <v>462</v>
      </c>
      <c r="BR113" s="135">
        <v>7.006097560975616E-2</v>
      </c>
      <c r="BS113" s="136">
        <v>27.116</v>
      </c>
      <c r="BT113" s="136">
        <v>26.116</v>
      </c>
      <c r="BU113" s="136">
        <v>25.116</v>
      </c>
      <c r="BV113" s="136">
        <v>27.116</v>
      </c>
      <c r="BW113" s="137">
        <v>0</v>
      </c>
      <c r="BX113" s="137">
        <v>0</v>
      </c>
      <c r="BY113" s="138">
        <v>0</v>
      </c>
    </row>
    <row r="114" spans="1:77">
      <c r="A114" s="130" t="s">
        <v>577</v>
      </c>
      <c r="B114" s="131" t="s">
        <v>578</v>
      </c>
      <c r="C114" s="132" t="s">
        <v>579</v>
      </c>
      <c r="D114" s="132" t="s">
        <v>143</v>
      </c>
      <c r="E114" s="133">
        <v>96.833333333333329</v>
      </c>
      <c r="F114" s="133">
        <v>4.1833333333333336</v>
      </c>
      <c r="G114" s="134">
        <v>74</v>
      </c>
      <c r="H114" s="134">
        <v>406</v>
      </c>
      <c r="I114" s="134">
        <v>155</v>
      </c>
      <c r="J114" s="134">
        <v>0</v>
      </c>
      <c r="K114" s="134">
        <v>635</v>
      </c>
      <c r="L114" s="134">
        <v>561</v>
      </c>
      <c r="M114" s="134">
        <v>635</v>
      </c>
      <c r="N114" s="134">
        <v>7</v>
      </c>
      <c r="O114" s="132">
        <v>73.55</v>
      </c>
      <c r="P114" s="132">
        <v>74.355555555555554</v>
      </c>
      <c r="Q114" s="132">
        <v>75.900000000000006</v>
      </c>
      <c r="R114" s="132">
        <v>62.588888888888889</v>
      </c>
      <c r="S114" s="132">
        <v>62.06666666666667</v>
      </c>
      <c r="T114" s="132">
        <v>60.727777777777774</v>
      </c>
      <c r="U114" s="132">
        <v>62.12777777777778</v>
      </c>
      <c r="V114" s="132">
        <v>72.333333333333329</v>
      </c>
      <c r="W114" s="132">
        <v>80.288888888888891</v>
      </c>
      <c r="X114" s="132">
        <v>0</v>
      </c>
      <c r="Y114" s="132">
        <v>0</v>
      </c>
      <c r="Z114" s="132">
        <v>0</v>
      </c>
      <c r="AA114" s="132">
        <v>0</v>
      </c>
      <c r="AB114" s="132">
        <v>397.76666666666665</v>
      </c>
      <c r="AC114" s="132">
        <v>152.62222222222221</v>
      </c>
      <c r="AD114" s="132">
        <v>0</v>
      </c>
      <c r="AE114" s="132">
        <v>623.93888888888887</v>
      </c>
      <c r="AF114" s="132">
        <v>550.38888888888891</v>
      </c>
      <c r="AG114" s="132">
        <v>623.93888888888887</v>
      </c>
      <c r="AH114" s="133">
        <v>96.25</v>
      </c>
      <c r="AI114" s="133">
        <v>5.0333333333333332</v>
      </c>
      <c r="AJ114" s="133">
        <v>101.28333333333333</v>
      </c>
      <c r="AK114" s="134">
        <v>74</v>
      </c>
      <c r="AL114" s="139">
        <v>78</v>
      </c>
      <c r="AM114" s="132">
        <v>80</v>
      </c>
      <c r="AN114" s="132">
        <v>78</v>
      </c>
      <c r="AO114" s="132">
        <v>62</v>
      </c>
      <c r="AP114" s="132">
        <v>64</v>
      </c>
      <c r="AQ114" s="132">
        <v>67</v>
      </c>
      <c r="AR114" s="132">
        <v>62</v>
      </c>
      <c r="AS114" s="132">
        <v>60</v>
      </c>
      <c r="AT114" s="132">
        <v>0</v>
      </c>
      <c r="AU114" s="132">
        <v>0</v>
      </c>
      <c r="AV114" s="132">
        <v>0</v>
      </c>
      <c r="AW114" s="132">
        <v>0</v>
      </c>
      <c r="AX114" s="132">
        <v>429</v>
      </c>
      <c r="AY114" s="132">
        <v>122</v>
      </c>
      <c r="AZ114" s="132">
        <v>0</v>
      </c>
      <c r="BA114" s="132">
        <v>625</v>
      </c>
      <c r="BB114" s="132">
        <v>551</v>
      </c>
      <c r="BC114" s="132">
        <v>625</v>
      </c>
      <c r="BD114" s="132">
        <v>0</v>
      </c>
      <c r="BE114" s="132">
        <v>74</v>
      </c>
      <c r="BF114" s="132">
        <v>0</v>
      </c>
      <c r="BG114" s="132">
        <v>121</v>
      </c>
      <c r="BH114" s="132">
        <v>88</v>
      </c>
      <c r="BI114" s="134">
        <v>2</v>
      </c>
      <c r="BJ114" s="134">
        <v>90</v>
      </c>
      <c r="BK114" s="134">
        <v>1</v>
      </c>
      <c r="BL114" s="134">
        <v>75</v>
      </c>
      <c r="BM114" s="134">
        <v>550</v>
      </c>
      <c r="BN114" s="134">
        <v>427</v>
      </c>
      <c r="BO114" s="134">
        <v>123</v>
      </c>
      <c r="BP114" s="134">
        <v>0</v>
      </c>
      <c r="BQ114" s="134">
        <v>625</v>
      </c>
      <c r="BR114" s="135">
        <v>5.8640939597315533E-2</v>
      </c>
      <c r="BS114" s="136">
        <v>36.375</v>
      </c>
      <c r="BT114" s="136">
        <v>36.375</v>
      </c>
      <c r="BU114" s="136">
        <v>33.274999999999999</v>
      </c>
      <c r="BV114" s="136">
        <v>36.675000000000004</v>
      </c>
      <c r="BW114" s="137">
        <v>0</v>
      </c>
      <c r="BX114" s="137">
        <v>0</v>
      </c>
      <c r="BY114" s="138">
        <v>0</v>
      </c>
    </row>
    <row r="115" spans="1:77">
      <c r="A115" s="130" t="s">
        <v>580</v>
      </c>
      <c r="B115" s="131" t="s">
        <v>581</v>
      </c>
      <c r="C115" s="132" t="s">
        <v>582</v>
      </c>
      <c r="D115" s="132" t="s">
        <v>143</v>
      </c>
      <c r="E115" s="133">
        <v>77.099999999999994</v>
      </c>
      <c r="F115" s="133">
        <v>5.0999999999999996</v>
      </c>
      <c r="G115" s="134">
        <v>86</v>
      </c>
      <c r="H115" s="134">
        <v>381</v>
      </c>
      <c r="I115" s="134">
        <v>57</v>
      </c>
      <c r="J115" s="134">
        <v>0</v>
      </c>
      <c r="K115" s="134">
        <v>524</v>
      </c>
      <c r="L115" s="134">
        <v>438</v>
      </c>
      <c r="M115" s="134">
        <v>524</v>
      </c>
      <c r="N115" s="134">
        <v>4</v>
      </c>
      <c r="O115" s="132">
        <v>80.844444444444449</v>
      </c>
      <c r="P115" s="132">
        <v>75.477777777777774</v>
      </c>
      <c r="Q115" s="132">
        <v>72.461111111111109</v>
      </c>
      <c r="R115" s="132">
        <v>54.783333333333331</v>
      </c>
      <c r="S115" s="132">
        <v>59.916666666666664</v>
      </c>
      <c r="T115" s="132">
        <v>42.87777777777778</v>
      </c>
      <c r="U115" s="132">
        <v>52.233333333333334</v>
      </c>
      <c r="V115" s="132">
        <v>29.81111111111111</v>
      </c>
      <c r="W115" s="132">
        <v>25.283333333333335</v>
      </c>
      <c r="X115" s="132">
        <v>0</v>
      </c>
      <c r="Y115" s="132">
        <v>0</v>
      </c>
      <c r="Z115" s="132">
        <v>0</v>
      </c>
      <c r="AA115" s="132">
        <v>0</v>
      </c>
      <c r="AB115" s="132">
        <v>357.75</v>
      </c>
      <c r="AC115" s="132">
        <v>55.094444444444449</v>
      </c>
      <c r="AD115" s="132">
        <v>0</v>
      </c>
      <c r="AE115" s="132">
        <v>493.68888888888898</v>
      </c>
      <c r="AF115" s="132">
        <v>412.84444444444449</v>
      </c>
      <c r="AG115" s="132">
        <v>493.68888888888898</v>
      </c>
      <c r="AH115" s="133">
        <v>70.538888888888891</v>
      </c>
      <c r="AI115" s="133">
        <v>3.2388888888888889</v>
      </c>
      <c r="AJ115" s="133">
        <v>73.777777777777786</v>
      </c>
      <c r="AK115" s="134">
        <v>79</v>
      </c>
      <c r="AL115" s="139">
        <v>78</v>
      </c>
      <c r="AM115" s="132">
        <v>67</v>
      </c>
      <c r="AN115" s="132">
        <v>60</v>
      </c>
      <c r="AO115" s="132">
        <v>45</v>
      </c>
      <c r="AP115" s="132">
        <v>54</v>
      </c>
      <c r="AQ115" s="132">
        <v>37</v>
      </c>
      <c r="AR115" s="132">
        <v>26</v>
      </c>
      <c r="AS115" s="132">
        <v>14</v>
      </c>
      <c r="AT115" s="132">
        <v>0</v>
      </c>
      <c r="AU115" s="132">
        <v>0</v>
      </c>
      <c r="AV115" s="132">
        <v>0</v>
      </c>
      <c r="AW115" s="132">
        <v>0</v>
      </c>
      <c r="AX115" s="132">
        <v>341</v>
      </c>
      <c r="AY115" s="132">
        <v>40</v>
      </c>
      <c r="AZ115" s="132">
        <v>0</v>
      </c>
      <c r="BA115" s="132">
        <v>460</v>
      </c>
      <c r="BB115" s="132">
        <v>381</v>
      </c>
      <c r="BC115" s="132">
        <v>460</v>
      </c>
      <c r="BD115" s="132">
        <v>70</v>
      </c>
      <c r="BE115" s="132">
        <v>9</v>
      </c>
      <c r="BF115" s="132">
        <v>0</v>
      </c>
      <c r="BG115" s="132">
        <v>6</v>
      </c>
      <c r="BH115" s="132">
        <v>64</v>
      </c>
      <c r="BI115" s="134">
        <v>2</v>
      </c>
      <c r="BJ115" s="134">
        <v>66</v>
      </c>
      <c r="BK115" s="134">
        <v>8</v>
      </c>
      <c r="BL115" s="134">
        <v>76</v>
      </c>
      <c r="BM115" s="134">
        <v>384</v>
      </c>
      <c r="BN115" s="134">
        <v>330</v>
      </c>
      <c r="BO115" s="134">
        <v>54</v>
      </c>
      <c r="BP115" s="134">
        <v>0</v>
      </c>
      <c r="BQ115" s="134">
        <v>460</v>
      </c>
      <c r="BR115" s="135">
        <v>6.1740692357935945E-2</v>
      </c>
      <c r="BS115" s="136">
        <v>26</v>
      </c>
      <c r="BT115" s="136">
        <v>24</v>
      </c>
      <c r="BU115" s="136">
        <v>24</v>
      </c>
      <c r="BV115" s="136">
        <v>27</v>
      </c>
      <c r="BW115" s="137">
        <v>0</v>
      </c>
      <c r="BX115" s="137">
        <v>0</v>
      </c>
      <c r="BY115" s="138">
        <v>0</v>
      </c>
    </row>
    <row r="116" spans="1:77">
      <c r="A116" s="130" t="s">
        <v>583</v>
      </c>
      <c r="B116" s="131" t="s">
        <v>584</v>
      </c>
      <c r="C116" s="132" t="s">
        <v>585</v>
      </c>
      <c r="D116" s="132" t="s">
        <v>143</v>
      </c>
      <c r="E116" s="133">
        <v>47.37777777777778</v>
      </c>
      <c r="F116" s="133">
        <v>1.9666666666666666</v>
      </c>
      <c r="G116" s="134">
        <v>72</v>
      </c>
      <c r="H116" s="134">
        <v>465</v>
      </c>
      <c r="I116" s="134">
        <v>0</v>
      </c>
      <c r="J116" s="134">
        <v>0</v>
      </c>
      <c r="K116" s="134">
        <v>537</v>
      </c>
      <c r="L116" s="134">
        <v>465</v>
      </c>
      <c r="M116" s="134">
        <v>537</v>
      </c>
      <c r="N116" s="134">
        <v>4</v>
      </c>
      <c r="O116" s="132">
        <v>72.172222222222217</v>
      </c>
      <c r="P116" s="132">
        <v>82.00555555555556</v>
      </c>
      <c r="Q116" s="132">
        <v>77.944444444444443</v>
      </c>
      <c r="R116" s="132">
        <v>83.055555555555557</v>
      </c>
      <c r="S116" s="132">
        <v>74.327777777777783</v>
      </c>
      <c r="T116" s="132">
        <v>72.272222222222226</v>
      </c>
      <c r="U116" s="132">
        <v>64.905555555555551</v>
      </c>
      <c r="V116" s="132">
        <v>0</v>
      </c>
      <c r="W116" s="132">
        <v>0</v>
      </c>
      <c r="X116" s="132">
        <v>0</v>
      </c>
      <c r="Y116" s="132">
        <v>0</v>
      </c>
      <c r="Z116" s="132">
        <v>0</v>
      </c>
      <c r="AA116" s="132">
        <v>0</v>
      </c>
      <c r="AB116" s="132">
        <v>454.51111111111112</v>
      </c>
      <c r="AC116" s="132">
        <v>0</v>
      </c>
      <c r="AD116" s="132">
        <v>0</v>
      </c>
      <c r="AE116" s="132">
        <v>526.68333333333328</v>
      </c>
      <c r="AF116" s="132">
        <v>454.51111111111112</v>
      </c>
      <c r="AG116" s="132">
        <v>526.68333333333328</v>
      </c>
      <c r="AH116" s="133">
        <v>56.833333333333336</v>
      </c>
      <c r="AI116" s="133">
        <v>4.1333333333333337</v>
      </c>
      <c r="AJ116" s="133">
        <v>60.966666666666669</v>
      </c>
      <c r="AK116" s="134">
        <v>75</v>
      </c>
      <c r="AL116" s="139">
        <v>77</v>
      </c>
      <c r="AM116" s="132">
        <v>76</v>
      </c>
      <c r="AN116" s="132">
        <v>77</v>
      </c>
      <c r="AO116" s="132">
        <v>80</v>
      </c>
      <c r="AP116" s="132">
        <v>74</v>
      </c>
      <c r="AQ116" s="132">
        <v>75</v>
      </c>
      <c r="AR116" s="132">
        <v>0</v>
      </c>
      <c r="AS116" s="132">
        <v>0</v>
      </c>
      <c r="AT116" s="132">
        <v>0</v>
      </c>
      <c r="AU116" s="132">
        <v>0</v>
      </c>
      <c r="AV116" s="132">
        <v>0</v>
      </c>
      <c r="AW116" s="132">
        <v>0</v>
      </c>
      <c r="AX116" s="132">
        <v>459</v>
      </c>
      <c r="AY116" s="132">
        <v>0</v>
      </c>
      <c r="AZ116" s="132">
        <v>0</v>
      </c>
      <c r="BA116" s="132">
        <v>534</v>
      </c>
      <c r="BB116" s="132">
        <v>459</v>
      </c>
      <c r="BC116" s="132">
        <v>534</v>
      </c>
      <c r="BD116" s="132">
        <v>70</v>
      </c>
      <c r="BE116" s="132">
        <v>5</v>
      </c>
      <c r="BF116" s="132">
        <v>0</v>
      </c>
      <c r="BG116" s="132">
        <v>224</v>
      </c>
      <c r="BH116" s="132">
        <v>61</v>
      </c>
      <c r="BI116" s="134">
        <v>6</v>
      </c>
      <c r="BJ116" s="134">
        <v>67</v>
      </c>
      <c r="BK116" s="134">
        <v>74</v>
      </c>
      <c r="BL116" s="134">
        <v>76</v>
      </c>
      <c r="BM116" s="134">
        <v>454</v>
      </c>
      <c r="BN116" s="134">
        <v>454</v>
      </c>
      <c r="BO116" s="134">
        <v>0</v>
      </c>
      <c r="BP116" s="134">
        <v>0</v>
      </c>
      <c r="BQ116" s="134">
        <v>530</v>
      </c>
      <c r="BR116" s="135">
        <v>7.1787987271280884E-2</v>
      </c>
      <c r="BS116" s="136">
        <v>27.169999999999998</v>
      </c>
      <c r="BT116" s="136">
        <v>25.169999999999998</v>
      </c>
      <c r="BU116" s="136">
        <v>25.169999999999998</v>
      </c>
      <c r="BV116" s="136">
        <v>27.169999999999998</v>
      </c>
      <c r="BW116" s="137">
        <v>0</v>
      </c>
      <c r="BX116" s="137">
        <v>0</v>
      </c>
      <c r="BY116" s="138">
        <v>0</v>
      </c>
    </row>
    <row r="117" spans="1:77">
      <c r="A117" s="130" t="s">
        <v>586</v>
      </c>
      <c r="B117" s="131" t="s">
        <v>587</v>
      </c>
      <c r="C117" s="132" t="s">
        <v>588</v>
      </c>
      <c r="D117" s="132" t="s">
        <v>143</v>
      </c>
      <c r="E117" s="133">
        <v>118.37777777777778</v>
      </c>
      <c r="F117" s="133">
        <v>4.4111111111111114</v>
      </c>
      <c r="G117" s="134">
        <v>99</v>
      </c>
      <c r="H117" s="134">
        <v>604</v>
      </c>
      <c r="I117" s="134">
        <v>182</v>
      </c>
      <c r="J117" s="134">
        <v>87</v>
      </c>
      <c r="K117" s="134">
        <v>972</v>
      </c>
      <c r="L117" s="134">
        <v>873</v>
      </c>
      <c r="M117" s="134">
        <v>885</v>
      </c>
      <c r="N117" s="134">
        <v>10</v>
      </c>
      <c r="O117" s="132">
        <v>95.183333333333337</v>
      </c>
      <c r="P117" s="132">
        <v>89.24444444444444</v>
      </c>
      <c r="Q117" s="132">
        <v>104.02222222222223</v>
      </c>
      <c r="R117" s="132">
        <v>100.03333333333333</v>
      </c>
      <c r="S117" s="132">
        <v>95.25</v>
      </c>
      <c r="T117" s="132">
        <v>101.4</v>
      </c>
      <c r="U117" s="132">
        <v>100.05555555555556</v>
      </c>
      <c r="V117" s="132">
        <v>98.8</v>
      </c>
      <c r="W117" s="132">
        <v>78.849999999999994</v>
      </c>
      <c r="X117" s="132">
        <v>84.277777777777771</v>
      </c>
      <c r="Y117" s="132">
        <v>0</v>
      </c>
      <c r="Z117" s="132">
        <v>0</v>
      </c>
      <c r="AA117" s="132">
        <v>0</v>
      </c>
      <c r="AB117" s="132">
        <v>590.00555555555547</v>
      </c>
      <c r="AC117" s="132">
        <v>177.64999999999998</v>
      </c>
      <c r="AD117" s="132">
        <v>84.277777777777771</v>
      </c>
      <c r="AE117" s="132">
        <v>862.83888888888885</v>
      </c>
      <c r="AF117" s="132">
        <v>851.93333333333317</v>
      </c>
      <c r="AG117" s="132">
        <v>947.11666666666656</v>
      </c>
      <c r="AH117" s="133">
        <v>128.47222222222223</v>
      </c>
      <c r="AI117" s="133">
        <v>9.1333333333333329</v>
      </c>
      <c r="AJ117" s="133">
        <v>137.60555555555555</v>
      </c>
      <c r="AK117" s="134">
        <v>101</v>
      </c>
      <c r="AL117" s="139">
        <v>101</v>
      </c>
      <c r="AM117" s="132">
        <v>99</v>
      </c>
      <c r="AN117" s="132">
        <v>102</v>
      </c>
      <c r="AO117" s="132">
        <v>105</v>
      </c>
      <c r="AP117" s="132">
        <v>107</v>
      </c>
      <c r="AQ117" s="132">
        <v>108</v>
      </c>
      <c r="AR117" s="132">
        <v>106</v>
      </c>
      <c r="AS117" s="132">
        <v>94</v>
      </c>
      <c r="AT117" s="132">
        <v>78</v>
      </c>
      <c r="AU117" s="132">
        <v>0</v>
      </c>
      <c r="AV117" s="132">
        <v>0</v>
      </c>
      <c r="AW117" s="132">
        <v>0</v>
      </c>
      <c r="AX117" s="132">
        <v>622</v>
      </c>
      <c r="AY117" s="132">
        <v>200</v>
      </c>
      <c r="AZ117" s="132">
        <v>78</v>
      </c>
      <c r="BA117" s="132">
        <v>923</v>
      </c>
      <c r="BB117" s="132">
        <v>900</v>
      </c>
      <c r="BC117" s="132">
        <v>1001</v>
      </c>
      <c r="BD117" s="132">
        <v>87</v>
      </c>
      <c r="BE117" s="132">
        <v>14</v>
      </c>
      <c r="BF117" s="132">
        <v>0</v>
      </c>
      <c r="BG117" s="132">
        <v>162</v>
      </c>
      <c r="BH117" s="132">
        <v>138</v>
      </c>
      <c r="BI117" s="134">
        <v>8</v>
      </c>
      <c r="BJ117" s="134">
        <v>146</v>
      </c>
      <c r="BK117" s="134">
        <v>57</v>
      </c>
      <c r="BL117" s="134">
        <v>104</v>
      </c>
      <c r="BM117" s="134">
        <v>886</v>
      </c>
      <c r="BN117" s="134">
        <v>616</v>
      </c>
      <c r="BO117" s="134">
        <v>185</v>
      </c>
      <c r="BP117" s="134">
        <v>85</v>
      </c>
      <c r="BQ117" s="134">
        <v>990</v>
      </c>
      <c r="BR117" s="135">
        <v>6.4780550774526713E-2</v>
      </c>
      <c r="BS117" s="136">
        <v>58.505000000000003</v>
      </c>
      <c r="BT117" s="136">
        <v>55.505000000000003</v>
      </c>
      <c r="BU117" s="136">
        <v>51.88</v>
      </c>
      <c r="BV117" s="136">
        <v>54.88</v>
      </c>
      <c r="BW117" s="137">
        <v>0</v>
      </c>
      <c r="BX117" s="137">
        <v>0</v>
      </c>
      <c r="BY117" s="138">
        <v>0</v>
      </c>
    </row>
    <row r="118" spans="1:77">
      <c r="A118" s="130" t="s">
        <v>589</v>
      </c>
      <c r="B118" s="131" t="s">
        <v>590</v>
      </c>
      <c r="C118" s="132" t="s">
        <v>591</v>
      </c>
      <c r="D118" s="132" t="s">
        <v>143</v>
      </c>
      <c r="E118" s="133">
        <v>39.777777777777779</v>
      </c>
      <c r="F118" s="133">
        <v>5</v>
      </c>
      <c r="G118" s="134">
        <v>63</v>
      </c>
      <c r="H118" s="134">
        <v>380</v>
      </c>
      <c r="I118" s="134">
        <v>92</v>
      </c>
      <c r="J118" s="134">
        <v>0</v>
      </c>
      <c r="K118" s="134">
        <v>535</v>
      </c>
      <c r="L118" s="134">
        <v>472</v>
      </c>
      <c r="M118" s="134">
        <v>535</v>
      </c>
      <c r="N118" s="134">
        <v>6</v>
      </c>
      <c r="O118" s="132">
        <v>62.333333333333336</v>
      </c>
      <c r="P118" s="132">
        <v>52.077777777777776</v>
      </c>
      <c r="Q118" s="132">
        <v>67.205555555555549</v>
      </c>
      <c r="R118" s="132">
        <v>48.844444444444441</v>
      </c>
      <c r="S118" s="132">
        <v>71.677777777777777</v>
      </c>
      <c r="T118" s="132">
        <v>70.00555555555556</v>
      </c>
      <c r="U118" s="132">
        <v>56</v>
      </c>
      <c r="V118" s="132">
        <v>40.833333333333336</v>
      </c>
      <c r="W118" s="132">
        <v>45.611111111111114</v>
      </c>
      <c r="X118" s="132">
        <v>0</v>
      </c>
      <c r="Y118" s="132">
        <v>0</v>
      </c>
      <c r="Z118" s="132">
        <v>0</v>
      </c>
      <c r="AA118" s="132">
        <v>0</v>
      </c>
      <c r="AB118" s="132">
        <v>365.81111111111113</v>
      </c>
      <c r="AC118" s="132">
        <v>86.444444444444457</v>
      </c>
      <c r="AD118" s="132">
        <v>0</v>
      </c>
      <c r="AE118" s="132">
        <v>514.58888888888896</v>
      </c>
      <c r="AF118" s="132">
        <v>452.25555555555559</v>
      </c>
      <c r="AG118" s="132">
        <v>514.58888888888896</v>
      </c>
      <c r="AH118" s="133">
        <v>40.661111111111111</v>
      </c>
      <c r="AI118" s="133">
        <v>5.7277777777777779</v>
      </c>
      <c r="AJ118" s="133">
        <v>46.388888888888886</v>
      </c>
      <c r="AK118" s="134">
        <v>46</v>
      </c>
      <c r="AL118" s="139">
        <v>59</v>
      </c>
      <c r="AM118" s="132">
        <v>43</v>
      </c>
      <c r="AN118" s="132">
        <v>71</v>
      </c>
      <c r="AO118" s="132">
        <v>56</v>
      </c>
      <c r="AP118" s="132">
        <v>68</v>
      </c>
      <c r="AQ118" s="132">
        <v>48</v>
      </c>
      <c r="AR118" s="132">
        <v>51</v>
      </c>
      <c r="AS118" s="132">
        <v>35</v>
      </c>
      <c r="AT118" s="132">
        <v>0</v>
      </c>
      <c r="AU118" s="132">
        <v>0</v>
      </c>
      <c r="AV118" s="132">
        <v>0</v>
      </c>
      <c r="AW118" s="132">
        <v>0</v>
      </c>
      <c r="AX118" s="132">
        <v>345</v>
      </c>
      <c r="AY118" s="132">
        <v>86</v>
      </c>
      <c r="AZ118" s="132">
        <v>0</v>
      </c>
      <c r="BA118" s="132">
        <v>477</v>
      </c>
      <c r="BB118" s="132">
        <v>431</v>
      </c>
      <c r="BC118" s="132">
        <v>477</v>
      </c>
      <c r="BD118" s="132">
        <v>46</v>
      </c>
      <c r="BE118" s="132">
        <v>0</v>
      </c>
      <c r="BF118" s="132">
        <v>0</v>
      </c>
      <c r="BG118" s="132">
        <v>19</v>
      </c>
      <c r="BH118" s="132">
        <v>45</v>
      </c>
      <c r="BI118" s="134">
        <v>5</v>
      </c>
      <c r="BJ118" s="134">
        <v>50</v>
      </c>
      <c r="BK118" s="134">
        <v>14</v>
      </c>
      <c r="BL118" s="134">
        <v>46</v>
      </c>
      <c r="BM118" s="134">
        <v>431</v>
      </c>
      <c r="BN118" s="134">
        <v>344</v>
      </c>
      <c r="BO118" s="134">
        <v>87</v>
      </c>
      <c r="BP118" s="134">
        <v>0</v>
      </c>
      <c r="BQ118" s="134">
        <v>477</v>
      </c>
      <c r="BR118" s="135">
        <v>7.9473304473304585E-2</v>
      </c>
      <c r="BS118" s="136">
        <v>37.550000000000004</v>
      </c>
      <c r="BT118" s="136">
        <v>36.550000000000004</v>
      </c>
      <c r="BU118" s="136">
        <v>35.767500000000005</v>
      </c>
      <c r="BV118" s="136">
        <v>38.917500000000004</v>
      </c>
      <c r="BW118" s="137">
        <v>0</v>
      </c>
      <c r="BX118" s="137">
        <v>0</v>
      </c>
      <c r="BY118" s="138">
        <v>0</v>
      </c>
    </row>
    <row r="119" spans="1:77">
      <c r="A119" s="130" t="s">
        <v>592</v>
      </c>
      <c r="B119" s="131" t="s">
        <v>593</v>
      </c>
      <c r="C119" s="132" t="s">
        <v>594</v>
      </c>
      <c r="D119" s="132" t="s">
        <v>143</v>
      </c>
      <c r="E119" s="133">
        <v>73.544444444444451</v>
      </c>
      <c r="F119" s="133">
        <v>0</v>
      </c>
      <c r="G119" s="134">
        <v>52</v>
      </c>
      <c r="H119" s="134">
        <v>303</v>
      </c>
      <c r="I119" s="134">
        <v>94</v>
      </c>
      <c r="J119" s="134">
        <v>0</v>
      </c>
      <c r="K119" s="134">
        <v>449</v>
      </c>
      <c r="L119" s="134">
        <v>397</v>
      </c>
      <c r="M119" s="134">
        <v>449</v>
      </c>
      <c r="N119" s="134">
        <v>2</v>
      </c>
      <c r="O119" s="132">
        <v>50.838888888888889</v>
      </c>
      <c r="P119" s="132">
        <v>47.833333333333336</v>
      </c>
      <c r="Q119" s="132">
        <v>51.966666666666669</v>
      </c>
      <c r="R119" s="132">
        <v>49.888888888888886</v>
      </c>
      <c r="S119" s="132">
        <v>49.87777777777778</v>
      </c>
      <c r="T119" s="132">
        <v>54</v>
      </c>
      <c r="U119" s="132">
        <v>43.18888888888889</v>
      </c>
      <c r="V119" s="132">
        <v>50.538888888888891</v>
      </c>
      <c r="W119" s="132">
        <v>39.394444444444446</v>
      </c>
      <c r="X119" s="132">
        <v>0</v>
      </c>
      <c r="Y119" s="132">
        <v>0</v>
      </c>
      <c r="Z119" s="132">
        <v>0</v>
      </c>
      <c r="AA119" s="132">
        <v>0</v>
      </c>
      <c r="AB119" s="132">
        <v>296.75555555555553</v>
      </c>
      <c r="AC119" s="132">
        <v>89.933333333333337</v>
      </c>
      <c r="AD119" s="132">
        <v>0</v>
      </c>
      <c r="AE119" s="132">
        <v>437.52777777777777</v>
      </c>
      <c r="AF119" s="132">
        <v>386.68888888888887</v>
      </c>
      <c r="AG119" s="132">
        <v>437.52777777777777</v>
      </c>
      <c r="AH119" s="133">
        <v>80.705555555555549</v>
      </c>
      <c r="AI119" s="133">
        <v>2.6444444444444444</v>
      </c>
      <c r="AJ119" s="133">
        <v>83.35</v>
      </c>
      <c r="AK119" s="134">
        <v>52</v>
      </c>
      <c r="AL119" s="139">
        <v>52</v>
      </c>
      <c r="AM119" s="132">
        <v>51</v>
      </c>
      <c r="AN119" s="132">
        <v>52</v>
      </c>
      <c r="AO119" s="132">
        <v>53</v>
      </c>
      <c r="AP119" s="132">
        <v>51</v>
      </c>
      <c r="AQ119" s="132">
        <v>49</v>
      </c>
      <c r="AR119" s="132">
        <v>50</v>
      </c>
      <c r="AS119" s="132">
        <v>42</v>
      </c>
      <c r="AT119" s="132">
        <v>0</v>
      </c>
      <c r="AU119" s="132">
        <v>0</v>
      </c>
      <c r="AV119" s="132">
        <v>0</v>
      </c>
      <c r="AW119" s="132">
        <v>0</v>
      </c>
      <c r="AX119" s="132">
        <v>308</v>
      </c>
      <c r="AY119" s="132">
        <v>92</v>
      </c>
      <c r="AZ119" s="132">
        <v>0</v>
      </c>
      <c r="BA119" s="132">
        <v>452</v>
      </c>
      <c r="BB119" s="132">
        <v>400</v>
      </c>
      <c r="BC119" s="132">
        <v>452</v>
      </c>
      <c r="BD119" s="132">
        <v>30</v>
      </c>
      <c r="BE119" s="132">
        <v>22</v>
      </c>
      <c r="BF119" s="132">
        <v>0</v>
      </c>
      <c r="BG119" s="132">
        <v>139</v>
      </c>
      <c r="BH119" s="132">
        <v>87</v>
      </c>
      <c r="BI119" s="134">
        <v>3</v>
      </c>
      <c r="BJ119" s="134">
        <v>90</v>
      </c>
      <c r="BK119" s="134">
        <v>18</v>
      </c>
      <c r="BL119" s="134">
        <v>51</v>
      </c>
      <c r="BM119" s="134">
        <v>384</v>
      </c>
      <c r="BN119" s="134">
        <v>293</v>
      </c>
      <c r="BO119" s="134">
        <v>91</v>
      </c>
      <c r="BP119" s="134">
        <v>0</v>
      </c>
      <c r="BQ119" s="134">
        <v>435</v>
      </c>
      <c r="BR119" s="135">
        <v>5.433673469387762E-2</v>
      </c>
      <c r="BS119" s="136">
        <v>28.5</v>
      </c>
      <c r="BT119" s="136">
        <v>27.5</v>
      </c>
      <c r="BU119" s="136">
        <v>27.5</v>
      </c>
      <c r="BV119" s="136">
        <v>29.5</v>
      </c>
      <c r="BW119" s="137">
        <v>0</v>
      </c>
      <c r="BX119" s="137">
        <v>0</v>
      </c>
      <c r="BY119" s="138">
        <v>0</v>
      </c>
    </row>
    <row r="120" spans="1:77">
      <c r="A120" s="130" t="s">
        <v>595</v>
      </c>
      <c r="B120" s="131" t="s">
        <v>596</v>
      </c>
      <c r="C120" s="132" t="s">
        <v>597</v>
      </c>
      <c r="D120" s="132" t="s">
        <v>143</v>
      </c>
      <c r="E120" s="133">
        <v>91.788888888888891</v>
      </c>
      <c r="F120" s="133">
        <v>0.71111111111111114</v>
      </c>
      <c r="G120" s="134">
        <v>73</v>
      </c>
      <c r="H120" s="134">
        <v>459</v>
      </c>
      <c r="I120" s="134">
        <v>134</v>
      </c>
      <c r="J120" s="134">
        <v>0</v>
      </c>
      <c r="K120" s="134">
        <v>666</v>
      </c>
      <c r="L120" s="134">
        <v>593</v>
      </c>
      <c r="M120" s="134">
        <v>666</v>
      </c>
      <c r="N120" s="134">
        <v>5</v>
      </c>
      <c r="O120" s="132">
        <v>68.894444444444446</v>
      </c>
      <c r="P120" s="132">
        <v>70.788888888888891</v>
      </c>
      <c r="Q120" s="132">
        <v>77.62777777777778</v>
      </c>
      <c r="R120" s="132">
        <v>73.938888888888883</v>
      </c>
      <c r="S120" s="132">
        <v>76.088888888888889</v>
      </c>
      <c r="T120" s="132">
        <v>75.822222222222223</v>
      </c>
      <c r="U120" s="132">
        <v>72.783333333333331</v>
      </c>
      <c r="V120" s="132">
        <v>66.805555555555557</v>
      </c>
      <c r="W120" s="132">
        <v>59.738888888888887</v>
      </c>
      <c r="X120" s="132">
        <v>0</v>
      </c>
      <c r="Y120" s="132">
        <v>0</v>
      </c>
      <c r="Z120" s="132">
        <v>0</v>
      </c>
      <c r="AA120" s="132">
        <v>0</v>
      </c>
      <c r="AB120" s="132">
        <v>447.04999999999995</v>
      </c>
      <c r="AC120" s="132">
        <v>126.54444444444445</v>
      </c>
      <c r="AD120" s="132">
        <v>0</v>
      </c>
      <c r="AE120" s="132">
        <v>642.48888888888894</v>
      </c>
      <c r="AF120" s="132">
        <v>573.59444444444443</v>
      </c>
      <c r="AG120" s="132">
        <v>642.48888888888894</v>
      </c>
      <c r="AH120" s="133">
        <v>97.561111111111117</v>
      </c>
      <c r="AI120" s="133">
        <v>5</v>
      </c>
      <c r="AJ120" s="133">
        <v>102.56111111111112</v>
      </c>
      <c r="AK120" s="134">
        <v>70</v>
      </c>
      <c r="AL120" s="139">
        <v>68</v>
      </c>
      <c r="AM120" s="132">
        <v>76</v>
      </c>
      <c r="AN120" s="132">
        <v>78</v>
      </c>
      <c r="AO120" s="132">
        <v>79</v>
      </c>
      <c r="AP120" s="132">
        <v>74</v>
      </c>
      <c r="AQ120" s="132">
        <v>75</v>
      </c>
      <c r="AR120" s="132">
        <v>60</v>
      </c>
      <c r="AS120" s="132">
        <v>67</v>
      </c>
      <c r="AT120" s="132">
        <v>0</v>
      </c>
      <c r="AU120" s="132">
        <v>0</v>
      </c>
      <c r="AV120" s="132">
        <v>0</v>
      </c>
      <c r="AW120" s="132">
        <v>0</v>
      </c>
      <c r="AX120" s="132">
        <v>450</v>
      </c>
      <c r="AY120" s="132">
        <v>127</v>
      </c>
      <c r="AZ120" s="132">
        <v>0</v>
      </c>
      <c r="BA120" s="132">
        <v>647</v>
      </c>
      <c r="BB120" s="132">
        <v>577</v>
      </c>
      <c r="BC120" s="132">
        <v>647</v>
      </c>
      <c r="BD120" s="132">
        <v>0</v>
      </c>
      <c r="BE120" s="132">
        <v>70</v>
      </c>
      <c r="BF120" s="132">
        <v>0</v>
      </c>
      <c r="BG120" s="132">
        <v>190</v>
      </c>
      <c r="BH120" s="132">
        <v>97</v>
      </c>
      <c r="BI120" s="134">
        <v>2</v>
      </c>
      <c r="BJ120" s="134">
        <v>99</v>
      </c>
      <c r="BK120" s="134">
        <v>33</v>
      </c>
      <c r="BL120" s="134">
        <v>71</v>
      </c>
      <c r="BM120" s="134">
        <v>569</v>
      </c>
      <c r="BN120" s="134">
        <v>441</v>
      </c>
      <c r="BO120" s="134">
        <v>128</v>
      </c>
      <c r="BP120" s="134">
        <v>0</v>
      </c>
      <c r="BQ120" s="134">
        <v>640</v>
      </c>
      <c r="BR120" s="135">
        <v>7.5295639320029584E-2</v>
      </c>
      <c r="BS120" s="136">
        <v>34.69</v>
      </c>
      <c r="BT120" s="136">
        <v>32.69</v>
      </c>
      <c r="BU120" s="136">
        <v>31.69</v>
      </c>
      <c r="BV120" s="136">
        <v>34.69</v>
      </c>
      <c r="BW120" s="137">
        <v>0</v>
      </c>
      <c r="BX120" s="137">
        <v>0</v>
      </c>
      <c r="BY120" s="138">
        <v>0</v>
      </c>
    </row>
    <row r="121" spans="1:77">
      <c r="A121" s="130" t="s">
        <v>598</v>
      </c>
      <c r="B121" s="131" t="s">
        <v>599</v>
      </c>
      <c r="C121" s="132" t="s">
        <v>600</v>
      </c>
      <c r="D121" s="132" t="s">
        <v>143</v>
      </c>
      <c r="E121" s="133">
        <v>110.55</v>
      </c>
      <c r="F121" s="133">
        <v>2.3333333333333335</v>
      </c>
      <c r="G121" s="134">
        <v>114</v>
      </c>
      <c r="H121" s="134">
        <v>545</v>
      </c>
      <c r="I121" s="134">
        <v>0</v>
      </c>
      <c r="J121" s="134">
        <v>0</v>
      </c>
      <c r="K121" s="134">
        <v>659</v>
      </c>
      <c r="L121" s="134">
        <v>545</v>
      </c>
      <c r="M121" s="134">
        <v>659</v>
      </c>
      <c r="N121" s="134">
        <v>2</v>
      </c>
      <c r="O121" s="132">
        <v>114.34444444444445</v>
      </c>
      <c r="P121" s="132">
        <v>100.33888888888889</v>
      </c>
      <c r="Q121" s="132">
        <v>94.74444444444444</v>
      </c>
      <c r="R121" s="132">
        <v>94.55</v>
      </c>
      <c r="S121" s="132">
        <v>97.605555555555554</v>
      </c>
      <c r="T121" s="132">
        <v>86.277777777777771</v>
      </c>
      <c r="U121" s="132">
        <v>58.716666666666669</v>
      </c>
      <c r="V121" s="132">
        <v>0</v>
      </c>
      <c r="W121" s="132">
        <v>0</v>
      </c>
      <c r="X121" s="132">
        <v>0</v>
      </c>
      <c r="Y121" s="132">
        <v>0</v>
      </c>
      <c r="Z121" s="132">
        <v>0</v>
      </c>
      <c r="AA121" s="132">
        <v>0</v>
      </c>
      <c r="AB121" s="132">
        <v>532.23333333333335</v>
      </c>
      <c r="AC121" s="132">
        <v>0</v>
      </c>
      <c r="AD121" s="132">
        <v>0</v>
      </c>
      <c r="AE121" s="132">
        <v>646.57777777777778</v>
      </c>
      <c r="AF121" s="132">
        <v>532.23333333333335</v>
      </c>
      <c r="AG121" s="132">
        <v>646.57777777777778</v>
      </c>
      <c r="AH121" s="133">
        <v>100.63888888888889</v>
      </c>
      <c r="AI121" s="133">
        <v>1.3722222222222222</v>
      </c>
      <c r="AJ121" s="133">
        <v>102.01111111111111</v>
      </c>
      <c r="AK121" s="134">
        <v>105</v>
      </c>
      <c r="AL121" s="139">
        <v>123</v>
      </c>
      <c r="AM121" s="132">
        <v>107</v>
      </c>
      <c r="AN121" s="132">
        <v>95</v>
      </c>
      <c r="AO121" s="132">
        <v>102</v>
      </c>
      <c r="AP121" s="132">
        <v>105</v>
      </c>
      <c r="AQ121" s="132">
        <v>88</v>
      </c>
      <c r="AR121" s="132">
        <v>0</v>
      </c>
      <c r="AS121" s="132">
        <v>0</v>
      </c>
      <c r="AT121" s="132">
        <v>0</v>
      </c>
      <c r="AU121" s="132">
        <v>0</v>
      </c>
      <c r="AV121" s="132">
        <v>0</v>
      </c>
      <c r="AW121" s="132">
        <v>0</v>
      </c>
      <c r="AX121" s="132">
        <v>620</v>
      </c>
      <c r="AY121" s="132">
        <v>0</v>
      </c>
      <c r="AZ121" s="132">
        <v>0</v>
      </c>
      <c r="BA121" s="132">
        <v>725</v>
      </c>
      <c r="BB121" s="132">
        <v>620</v>
      </c>
      <c r="BC121" s="132">
        <v>725</v>
      </c>
      <c r="BD121" s="132">
        <v>59</v>
      </c>
      <c r="BE121" s="132">
        <v>46</v>
      </c>
      <c r="BF121" s="132">
        <v>0</v>
      </c>
      <c r="BG121" s="132">
        <v>199</v>
      </c>
      <c r="BH121" s="132">
        <v>84</v>
      </c>
      <c r="BI121" s="134">
        <v>1</v>
      </c>
      <c r="BJ121" s="134">
        <v>85</v>
      </c>
      <c r="BK121" s="134">
        <v>34</v>
      </c>
      <c r="BL121" s="134">
        <v>123</v>
      </c>
      <c r="BM121" s="134">
        <v>577</v>
      </c>
      <c r="BN121" s="134">
        <v>577</v>
      </c>
      <c r="BO121" s="134">
        <v>0</v>
      </c>
      <c r="BP121" s="134">
        <v>0</v>
      </c>
      <c r="BQ121" s="134">
        <v>700</v>
      </c>
      <c r="BR121" s="135">
        <v>5.7136617749825425E-2</v>
      </c>
      <c r="BS121" s="136">
        <v>37.602999999999994</v>
      </c>
      <c r="BT121" s="136">
        <v>34.603000000000002</v>
      </c>
      <c r="BU121" s="136">
        <v>33.33</v>
      </c>
      <c r="BV121" s="136">
        <v>37.635999999999996</v>
      </c>
      <c r="BW121" s="137">
        <v>0</v>
      </c>
      <c r="BX121" s="137">
        <v>0</v>
      </c>
      <c r="BY121" s="138">
        <v>0</v>
      </c>
    </row>
    <row r="122" spans="1:77">
      <c r="A122" s="130" t="s">
        <v>601</v>
      </c>
      <c r="B122" s="131" t="s">
        <v>602</v>
      </c>
      <c r="C122" s="132" t="s">
        <v>603</v>
      </c>
      <c r="D122" s="132" t="s">
        <v>143</v>
      </c>
      <c r="E122" s="133">
        <v>67.738888888888894</v>
      </c>
      <c r="F122" s="133">
        <v>6.0777777777777775</v>
      </c>
      <c r="G122" s="134">
        <v>49</v>
      </c>
      <c r="H122" s="134">
        <v>282</v>
      </c>
      <c r="I122" s="134">
        <v>93</v>
      </c>
      <c r="J122" s="134">
        <v>0</v>
      </c>
      <c r="K122" s="134">
        <v>424</v>
      </c>
      <c r="L122" s="134">
        <v>375</v>
      </c>
      <c r="M122" s="134">
        <v>424</v>
      </c>
      <c r="N122" s="134">
        <v>4</v>
      </c>
      <c r="O122" s="132">
        <v>49.544444444444444</v>
      </c>
      <c r="P122" s="132">
        <v>42.955555555555556</v>
      </c>
      <c r="Q122" s="132">
        <v>42.43888888888889</v>
      </c>
      <c r="R122" s="132">
        <v>45.422222222222224</v>
      </c>
      <c r="S122" s="132">
        <v>55.388888888888886</v>
      </c>
      <c r="T122" s="132">
        <v>43.966666666666669</v>
      </c>
      <c r="U122" s="132">
        <v>42.233333333333334</v>
      </c>
      <c r="V122" s="132">
        <v>42.916666666666664</v>
      </c>
      <c r="W122" s="132">
        <v>50.3</v>
      </c>
      <c r="X122" s="132">
        <v>0</v>
      </c>
      <c r="Y122" s="132">
        <v>0</v>
      </c>
      <c r="Z122" s="132">
        <v>0</v>
      </c>
      <c r="AA122" s="132">
        <v>0</v>
      </c>
      <c r="AB122" s="132">
        <v>272.40555555555557</v>
      </c>
      <c r="AC122" s="132">
        <v>93.216666666666669</v>
      </c>
      <c r="AD122" s="132">
        <v>0</v>
      </c>
      <c r="AE122" s="132">
        <v>415.16666666666674</v>
      </c>
      <c r="AF122" s="132">
        <v>365.62222222222226</v>
      </c>
      <c r="AG122" s="132">
        <v>415.16666666666674</v>
      </c>
      <c r="AH122" s="133">
        <v>47.983333333333334</v>
      </c>
      <c r="AI122" s="133">
        <v>3.6111111111111112</v>
      </c>
      <c r="AJ122" s="133">
        <v>51.594444444444449</v>
      </c>
      <c r="AK122" s="134">
        <v>36</v>
      </c>
      <c r="AL122" s="139">
        <v>43</v>
      </c>
      <c r="AM122" s="132">
        <v>38</v>
      </c>
      <c r="AN122" s="132">
        <v>34</v>
      </c>
      <c r="AO122" s="132">
        <v>39</v>
      </c>
      <c r="AP122" s="132">
        <v>59</v>
      </c>
      <c r="AQ122" s="132">
        <v>38</v>
      </c>
      <c r="AR122" s="132">
        <v>37</v>
      </c>
      <c r="AS122" s="132">
        <v>41</v>
      </c>
      <c r="AT122" s="132">
        <v>0</v>
      </c>
      <c r="AU122" s="132">
        <v>0</v>
      </c>
      <c r="AV122" s="132">
        <v>0</v>
      </c>
      <c r="AW122" s="132">
        <v>0</v>
      </c>
      <c r="AX122" s="132">
        <v>251</v>
      </c>
      <c r="AY122" s="132">
        <v>78</v>
      </c>
      <c r="AZ122" s="132">
        <v>0</v>
      </c>
      <c r="BA122" s="132">
        <v>365</v>
      </c>
      <c r="BB122" s="132">
        <v>329</v>
      </c>
      <c r="BC122" s="132">
        <v>365</v>
      </c>
      <c r="BD122" s="132">
        <v>33</v>
      </c>
      <c r="BE122" s="132">
        <v>3</v>
      </c>
      <c r="BF122" s="132">
        <v>0</v>
      </c>
      <c r="BG122" s="132">
        <v>88</v>
      </c>
      <c r="BH122" s="132">
        <v>41</v>
      </c>
      <c r="BI122" s="134">
        <v>1</v>
      </c>
      <c r="BJ122" s="134">
        <v>42</v>
      </c>
      <c r="BK122" s="134">
        <v>34</v>
      </c>
      <c r="BL122" s="134">
        <v>42</v>
      </c>
      <c r="BM122" s="134">
        <v>323</v>
      </c>
      <c r="BN122" s="134">
        <v>243</v>
      </c>
      <c r="BO122" s="134">
        <v>80</v>
      </c>
      <c r="BP122" s="134">
        <v>0</v>
      </c>
      <c r="BQ122" s="134">
        <v>365</v>
      </c>
      <c r="BR122" s="135">
        <v>6.5557690767875709E-2</v>
      </c>
      <c r="BS122" s="136">
        <v>21.63</v>
      </c>
      <c r="BT122" s="136">
        <v>21.63</v>
      </c>
      <c r="BU122" s="136">
        <v>21.63</v>
      </c>
      <c r="BV122" s="136">
        <v>22.63</v>
      </c>
      <c r="BW122" s="137">
        <v>0</v>
      </c>
      <c r="BX122" s="137">
        <v>0</v>
      </c>
      <c r="BY122" s="138">
        <v>0</v>
      </c>
    </row>
    <row r="123" spans="1:77">
      <c r="A123" s="130" t="s">
        <v>604</v>
      </c>
      <c r="B123" s="131" t="s">
        <v>605</v>
      </c>
      <c r="C123" s="132" t="s">
        <v>606</v>
      </c>
      <c r="D123" s="132" t="s">
        <v>143</v>
      </c>
      <c r="E123" s="133">
        <v>89.338888888888889</v>
      </c>
      <c r="F123" s="133">
        <v>6.0111111111111111</v>
      </c>
      <c r="G123" s="134">
        <v>79</v>
      </c>
      <c r="H123" s="134">
        <v>485</v>
      </c>
      <c r="I123" s="134">
        <v>123</v>
      </c>
      <c r="J123" s="134">
        <v>0</v>
      </c>
      <c r="K123" s="134">
        <v>687</v>
      </c>
      <c r="L123" s="134">
        <v>608</v>
      </c>
      <c r="M123" s="134">
        <v>687</v>
      </c>
      <c r="N123" s="134">
        <v>5</v>
      </c>
      <c r="O123" s="132">
        <v>78.533333333333331</v>
      </c>
      <c r="P123" s="132">
        <v>81.816666666666663</v>
      </c>
      <c r="Q123" s="132">
        <v>81.988888888888894</v>
      </c>
      <c r="R123" s="132">
        <v>82.977777777777774</v>
      </c>
      <c r="S123" s="132">
        <v>76.161111111111111</v>
      </c>
      <c r="T123" s="132">
        <v>80.111111111111114</v>
      </c>
      <c r="U123" s="132">
        <v>74.344444444444449</v>
      </c>
      <c r="V123" s="132">
        <v>60.572222222222223</v>
      </c>
      <c r="W123" s="132">
        <v>58.894444444444446</v>
      </c>
      <c r="X123" s="132">
        <v>0</v>
      </c>
      <c r="Y123" s="132">
        <v>0</v>
      </c>
      <c r="Z123" s="132">
        <v>0</v>
      </c>
      <c r="AA123" s="132">
        <v>0</v>
      </c>
      <c r="AB123" s="132">
        <v>477.4</v>
      </c>
      <c r="AC123" s="132">
        <v>119.46666666666667</v>
      </c>
      <c r="AD123" s="132">
        <v>0</v>
      </c>
      <c r="AE123" s="132">
        <v>675.39999999999986</v>
      </c>
      <c r="AF123" s="132">
        <v>596.86666666666656</v>
      </c>
      <c r="AG123" s="132">
        <v>675.39999999999986</v>
      </c>
      <c r="AH123" s="133">
        <v>84.75</v>
      </c>
      <c r="AI123" s="133">
        <v>5.7111111111111112</v>
      </c>
      <c r="AJ123" s="133">
        <v>90.461111111111109</v>
      </c>
      <c r="AK123" s="134">
        <v>78</v>
      </c>
      <c r="AL123" s="139">
        <v>81</v>
      </c>
      <c r="AM123" s="132">
        <v>85</v>
      </c>
      <c r="AN123" s="132">
        <v>82</v>
      </c>
      <c r="AO123" s="132">
        <v>83</v>
      </c>
      <c r="AP123" s="132">
        <v>78</v>
      </c>
      <c r="AQ123" s="132">
        <v>68</v>
      </c>
      <c r="AR123" s="132">
        <v>65</v>
      </c>
      <c r="AS123" s="132">
        <v>61</v>
      </c>
      <c r="AT123" s="132">
        <v>0</v>
      </c>
      <c r="AU123" s="132">
        <v>0</v>
      </c>
      <c r="AV123" s="132">
        <v>0</v>
      </c>
      <c r="AW123" s="132">
        <v>0</v>
      </c>
      <c r="AX123" s="132">
        <v>477</v>
      </c>
      <c r="AY123" s="132">
        <v>126</v>
      </c>
      <c r="AZ123" s="132">
        <v>0</v>
      </c>
      <c r="BA123" s="132">
        <v>681</v>
      </c>
      <c r="BB123" s="132">
        <v>603</v>
      </c>
      <c r="BC123" s="132">
        <v>681</v>
      </c>
      <c r="BD123" s="132">
        <v>0</v>
      </c>
      <c r="BE123" s="132">
        <v>78</v>
      </c>
      <c r="BF123" s="132">
        <v>0</v>
      </c>
      <c r="BG123" s="132">
        <v>163</v>
      </c>
      <c r="BH123" s="132">
        <v>91</v>
      </c>
      <c r="BI123" s="134">
        <v>5</v>
      </c>
      <c r="BJ123" s="134">
        <v>96</v>
      </c>
      <c r="BK123" s="134">
        <v>37</v>
      </c>
      <c r="BL123" s="134">
        <v>79</v>
      </c>
      <c r="BM123" s="134">
        <v>601</v>
      </c>
      <c r="BN123" s="134">
        <v>482</v>
      </c>
      <c r="BO123" s="134">
        <v>119</v>
      </c>
      <c r="BP123" s="134">
        <v>0</v>
      </c>
      <c r="BQ123" s="134">
        <v>680</v>
      </c>
      <c r="BR123" s="135">
        <v>6.5622513922036663E-2</v>
      </c>
      <c r="BS123" s="136">
        <v>42.534999999999997</v>
      </c>
      <c r="BT123" s="136">
        <v>39.534999999999997</v>
      </c>
      <c r="BU123" s="136">
        <v>38.534999999999997</v>
      </c>
      <c r="BV123" s="136">
        <v>43.534999999999997</v>
      </c>
      <c r="BW123" s="137">
        <v>0</v>
      </c>
      <c r="BX123" s="137">
        <v>0</v>
      </c>
      <c r="BY123" s="138">
        <v>0</v>
      </c>
    </row>
    <row r="124" spans="1:77">
      <c r="A124" s="130" t="s">
        <v>607</v>
      </c>
      <c r="B124" s="131" t="s">
        <v>608</v>
      </c>
      <c r="C124" s="132" t="s">
        <v>609</v>
      </c>
      <c r="D124" s="132" t="s">
        <v>143</v>
      </c>
      <c r="E124" s="133">
        <v>103.31111111111112</v>
      </c>
      <c r="F124" s="133">
        <v>1.7166666666666666</v>
      </c>
      <c r="G124" s="134">
        <v>157</v>
      </c>
      <c r="H124" s="134">
        <v>770</v>
      </c>
      <c r="I124" s="134">
        <v>156</v>
      </c>
      <c r="J124" s="134">
        <v>0</v>
      </c>
      <c r="K124" s="134">
        <v>1083</v>
      </c>
      <c r="L124" s="134">
        <v>926</v>
      </c>
      <c r="M124" s="134">
        <v>1083</v>
      </c>
      <c r="N124" s="134">
        <v>3</v>
      </c>
      <c r="O124" s="132">
        <v>153.10555555555555</v>
      </c>
      <c r="P124" s="132">
        <v>155.22222222222223</v>
      </c>
      <c r="Q124" s="132">
        <v>145.65</v>
      </c>
      <c r="R124" s="132">
        <v>124.6</v>
      </c>
      <c r="S124" s="132">
        <v>129.79444444444445</v>
      </c>
      <c r="T124" s="132">
        <v>99.888888888888886</v>
      </c>
      <c r="U124" s="132">
        <v>100.57777777777778</v>
      </c>
      <c r="V124" s="132">
        <v>74.477777777777774</v>
      </c>
      <c r="W124" s="132">
        <v>76.333333333333329</v>
      </c>
      <c r="X124" s="132">
        <v>0</v>
      </c>
      <c r="Y124" s="132">
        <v>0</v>
      </c>
      <c r="Z124" s="132">
        <v>0</v>
      </c>
      <c r="AA124" s="132">
        <v>0</v>
      </c>
      <c r="AB124" s="132">
        <v>755.73333333333346</v>
      </c>
      <c r="AC124" s="132">
        <v>150.8111111111111</v>
      </c>
      <c r="AD124" s="132">
        <v>0</v>
      </c>
      <c r="AE124" s="132">
        <v>1059.6500000000001</v>
      </c>
      <c r="AF124" s="132">
        <v>906.54444444444459</v>
      </c>
      <c r="AG124" s="132">
        <v>1059.6500000000001</v>
      </c>
      <c r="AH124" s="133">
        <v>144.12777777777777</v>
      </c>
      <c r="AI124" s="133">
        <v>1.6333333333333333</v>
      </c>
      <c r="AJ124" s="133">
        <v>145.76111111111109</v>
      </c>
      <c r="AK124" s="134">
        <v>154</v>
      </c>
      <c r="AL124" s="139">
        <v>161</v>
      </c>
      <c r="AM124" s="132">
        <v>149</v>
      </c>
      <c r="AN124" s="132">
        <v>146</v>
      </c>
      <c r="AO124" s="132">
        <v>135</v>
      </c>
      <c r="AP124" s="132">
        <v>129</v>
      </c>
      <c r="AQ124" s="132">
        <v>99</v>
      </c>
      <c r="AR124" s="132">
        <v>77</v>
      </c>
      <c r="AS124" s="132">
        <v>66</v>
      </c>
      <c r="AT124" s="132">
        <v>0</v>
      </c>
      <c r="AU124" s="132">
        <v>0</v>
      </c>
      <c r="AV124" s="132">
        <v>0</v>
      </c>
      <c r="AW124" s="132">
        <v>0</v>
      </c>
      <c r="AX124" s="132">
        <v>819</v>
      </c>
      <c r="AY124" s="132">
        <v>143</v>
      </c>
      <c r="AZ124" s="132">
        <v>0</v>
      </c>
      <c r="BA124" s="132">
        <v>1116</v>
      </c>
      <c r="BB124" s="132">
        <v>962</v>
      </c>
      <c r="BC124" s="132">
        <v>1116</v>
      </c>
      <c r="BD124" s="132">
        <v>150</v>
      </c>
      <c r="BE124" s="132">
        <v>4</v>
      </c>
      <c r="BF124" s="132">
        <v>0</v>
      </c>
      <c r="BG124" s="132">
        <v>374</v>
      </c>
      <c r="BH124" s="132">
        <v>140</v>
      </c>
      <c r="BI124" s="134">
        <v>2</v>
      </c>
      <c r="BJ124" s="134">
        <v>142</v>
      </c>
      <c r="BK124" s="134">
        <v>235</v>
      </c>
      <c r="BL124" s="134">
        <v>143</v>
      </c>
      <c r="BM124" s="134">
        <v>956</v>
      </c>
      <c r="BN124" s="134">
        <v>813</v>
      </c>
      <c r="BO124" s="134">
        <v>143</v>
      </c>
      <c r="BP124" s="134">
        <v>0</v>
      </c>
      <c r="BQ124" s="134">
        <v>1099</v>
      </c>
      <c r="BR124" s="135">
        <v>6.3673709956557079E-2</v>
      </c>
      <c r="BS124" s="136">
        <v>55.984000000000009</v>
      </c>
      <c r="BT124" s="136">
        <v>52.25</v>
      </c>
      <c r="BU124" s="136">
        <v>51.25</v>
      </c>
      <c r="BV124" s="136">
        <v>56.984000000000002</v>
      </c>
      <c r="BW124" s="137">
        <v>0</v>
      </c>
      <c r="BX124" s="137">
        <v>0</v>
      </c>
      <c r="BY124" s="138">
        <v>0</v>
      </c>
    </row>
    <row r="125" spans="1:77">
      <c r="A125" s="130" t="s">
        <v>610</v>
      </c>
      <c r="B125" s="131" t="s">
        <v>611</v>
      </c>
      <c r="C125" s="132" t="s">
        <v>612</v>
      </c>
      <c r="D125" s="132" t="s">
        <v>143</v>
      </c>
      <c r="E125" s="133">
        <v>14.511111111111111</v>
      </c>
      <c r="F125" s="133">
        <v>0</v>
      </c>
      <c r="G125" s="134">
        <v>0</v>
      </c>
      <c r="H125" s="134">
        <v>0</v>
      </c>
      <c r="I125" s="134">
        <v>0</v>
      </c>
      <c r="J125" s="134">
        <v>202</v>
      </c>
      <c r="K125" s="134">
        <v>202</v>
      </c>
      <c r="L125" s="134">
        <v>202</v>
      </c>
      <c r="M125" s="134">
        <v>0</v>
      </c>
      <c r="N125" s="134">
        <v>0</v>
      </c>
      <c r="O125" s="132">
        <v>0</v>
      </c>
      <c r="P125" s="132">
        <v>0</v>
      </c>
      <c r="Q125" s="132">
        <v>0</v>
      </c>
      <c r="R125" s="132">
        <v>0</v>
      </c>
      <c r="S125" s="132">
        <v>0</v>
      </c>
      <c r="T125" s="132">
        <v>0</v>
      </c>
      <c r="U125" s="132">
        <v>0</v>
      </c>
      <c r="V125" s="132">
        <v>0</v>
      </c>
      <c r="W125" s="132">
        <v>0</v>
      </c>
      <c r="X125" s="132">
        <v>52.072222222222223</v>
      </c>
      <c r="Y125" s="132">
        <v>52.427777777777777</v>
      </c>
      <c r="Z125" s="132">
        <v>46.18888888888889</v>
      </c>
      <c r="AA125" s="132">
        <v>44.35</v>
      </c>
      <c r="AB125" s="132">
        <v>0</v>
      </c>
      <c r="AC125" s="132">
        <v>0</v>
      </c>
      <c r="AD125" s="132">
        <v>195.03888888888889</v>
      </c>
      <c r="AE125" s="132">
        <v>0</v>
      </c>
      <c r="AF125" s="132">
        <v>195.03888888888889</v>
      </c>
      <c r="AG125" s="132">
        <v>195.03888888888889</v>
      </c>
      <c r="AH125" s="133">
        <v>19.005555555555556</v>
      </c>
      <c r="AI125" s="133">
        <v>0</v>
      </c>
      <c r="AJ125" s="133">
        <v>19.005555555555556</v>
      </c>
      <c r="AK125" s="134">
        <v>0</v>
      </c>
      <c r="AL125" s="139">
        <v>0</v>
      </c>
      <c r="AM125" s="132">
        <v>0</v>
      </c>
      <c r="AN125" s="132">
        <v>0</v>
      </c>
      <c r="AO125" s="132">
        <v>0</v>
      </c>
      <c r="AP125" s="132">
        <v>0</v>
      </c>
      <c r="AQ125" s="132">
        <v>0</v>
      </c>
      <c r="AR125" s="132">
        <v>0</v>
      </c>
      <c r="AS125" s="132">
        <v>0</v>
      </c>
      <c r="AT125" s="132">
        <v>37</v>
      </c>
      <c r="AU125" s="132">
        <v>42</v>
      </c>
      <c r="AV125" s="132">
        <v>47</v>
      </c>
      <c r="AW125" s="132">
        <v>38</v>
      </c>
      <c r="AX125" s="132">
        <v>0</v>
      </c>
      <c r="AY125" s="132">
        <v>0</v>
      </c>
      <c r="AZ125" s="132">
        <v>164</v>
      </c>
      <c r="BA125" s="132">
        <v>0</v>
      </c>
      <c r="BB125" s="132">
        <v>164</v>
      </c>
      <c r="BC125" s="132">
        <v>164</v>
      </c>
      <c r="BD125" s="132">
        <v>0</v>
      </c>
      <c r="BE125" s="132">
        <v>0</v>
      </c>
      <c r="BF125" s="132">
        <v>0</v>
      </c>
      <c r="BG125" s="132">
        <v>22</v>
      </c>
      <c r="BH125" s="132">
        <v>13</v>
      </c>
      <c r="BI125" s="134">
        <v>0</v>
      </c>
      <c r="BJ125" s="134">
        <v>13</v>
      </c>
      <c r="BK125" s="134">
        <v>0</v>
      </c>
      <c r="BL125" s="134">
        <v>0</v>
      </c>
      <c r="BM125" s="134">
        <v>155</v>
      </c>
      <c r="BN125" s="134">
        <v>0</v>
      </c>
      <c r="BO125" s="134">
        <v>0</v>
      </c>
      <c r="BP125" s="134">
        <v>155</v>
      </c>
      <c r="BQ125" s="134">
        <v>155</v>
      </c>
      <c r="BR125" s="135">
        <v>8.5499999999999965E-2</v>
      </c>
      <c r="BS125" s="136">
        <v>15.713000000000001</v>
      </c>
      <c r="BT125" s="136">
        <v>13.879999999999999</v>
      </c>
      <c r="BU125" s="136">
        <v>13.879999999999999</v>
      </c>
      <c r="BV125" s="136">
        <v>15.713000000000001</v>
      </c>
      <c r="BW125" s="137">
        <v>0</v>
      </c>
      <c r="BX125" s="137">
        <v>0</v>
      </c>
      <c r="BY125" s="138">
        <v>0</v>
      </c>
    </row>
    <row r="126" spans="1:77">
      <c r="A126" s="130" t="s">
        <v>613</v>
      </c>
      <c r="B126" s="131" t="s">
        <v>614</v>
      </c>
      <c r="C126" s="132" t="s">
        <v>615</v>
      </c>
      <c r="D126" s="132" t="s">
        <v>143</v>
      </c>
      <c r="E126" s="133">
        <v>101.52777777777777</v>
      </c>
      <c r="F126" s="133">
        <v>23.144444444444446</v>
      </c>
      <c r="G126" s="134">
        <v>66</v>
      </c>
      <c r="H126" s="134">
        <v>496</v>
      </c>
      <c r="I126" s="134">
        <v>128</v>
      </c>
      <c r="J126" s="134">
        <v>0</v>
      </c>
      <c r="K126" s="134">
        <v>690</v>
      </c>
      <c r="L126" s="134">
        <v>624</v>
      </c>
      <c r="M126" s="134">
        <v>690</v>
      </c>
      <c r="N126" s="134">
        <v>22</v>
      </c>
      <c r="O126" s="132">
        <v>68.13333333333334</v>
      </c>
      <c r="P126" s="132">
        <v>74.105555555555554</v>
      </c>
      <c r="Q126" s="132">
        <v>76.611111111111114</v>
      </c>
      <c r="R126" s="132">
        <v>91.261111111111106</v>
      </c>
      <c r="S126" s="132">
        <v>78.88333333333334</v>
      </c>
      <c r="T126" s="132">
        <v>71.24444444444444</v>
      </c>
      <c r="U126" s="132">
        <v>80.205555555555549</v>
      </c>
      <c r="V126" s="132">
        <v>69.516666666666666</v>
      </c>
      <c r="W126" s="132">
        <v>56.105555555555554</v>
      </c>
      <c r="X126" s="132">
        <v>0</v>
      </c>
      <c r="Y126" s="132">
        <v>0</v>
      </c>
      <c r="Z126" s="132">
        <v>0</v>
      </c>
      <c r="AA126" s="132">
        <v>0</v>
      </c>
      <c r="AB126" s="132">
        <v>472.31111111111102</v>
      </c>
      <c r="AC126" s="132">
        <v>125.62222222222222</v>
      </c>
      <c r="AD126" s="132">
        <v>0</v>
      </c>
      <c r="AE126" s="132">
        <v>666.06666666666661</v>
      </c>
      <c r="AF126" s="132">
        <v>597.93333333333317</v>
      </c>
      <c r="AG126" s="132">
        <v>666.06666666666661</v>
      </c>
      <c r="AH126" s="133">
        <v>109.84444444444445</v>
      </c>
      <c r="AI126" s="133">
        <v>21.06111111111111</v>
      </c>
      <c r="AJ126" s="133">
        <v>130.90555555555557</v>
      </c>
      <c r="AK126" s="134">
        <v>59</v>
      </c>
      <c r="AL126" s="139">
        <v>68</v>
      </c>
      <c r="AM126" s="132">
        <v>79</v>
      </c>
      <c r="AN126" s="132">
        <v>77</v>
      </c>
      <c r="AO126" s="132">
        <v>90</v>
      </c>
      <c r="AP126" s="132">
        <v>88</v>
      </c>
      <c r="AQ126" s="132">
        <v>73</v>
      </c>
      <c r="AR126" s="132">
        <v>78</v>
      </c>
      <c r="AS126" s="132">
        <v>65</v>
      </c>
      <c r="AT126" s="132">
        <v>0</v>
      </c>
      <c r="AU126" s="132">
        <v>0</v>
      </c>
      <c r="AV126" s="132">
        <v>0</v>
      </c>
      <c r="AW126" s="132">
        <v>0</v>
      </c>
      <c r="AX126" s="132">
        <v>475</v>
      </c>
      <c r="AY126" s="132">
        <v>143</v>
      </c>
      <c r="AZ126" s="132">
        <v>0</v>
      </c>
      <c r="BA126" s="132">
        <v>677</v>
      </c>
      <c r="BB126" s="132">
        <v>618</v>
      </c>
      <c r="BC126" s="132">
        <v>677</v>
      </c>
      <c r="BD126" s="132">
        <v>56</v>
      </c>
      <c r="BE126" s="132">
        <v>3</v>
      </c>
      <c r="BF126" s="132">
        <v>0</v>
      </c>
      <c r="BG126" s="132">
        <v>349</v>
      </c>
      <c r="BH126" s="132">
        <v>106</v>
      </c>
      <c r="BI126" s="134">
        <v>19</v>
      </c>
      <c r="BJ126" s="134">
        <v>125</v>
      </c>
      <c r="BK126" s="134">
        <v>27</v>
      </c>
      <c r="BL126" s="134">
        <v>59</v>
      </c>
      <c r="BM126" s="134">
        <v>617</v>
      </c>
      <c r="BN126" s="134">
        <v>492</v>
      </c>
      <c r="BO126" s="134">
        <v>125</v>
      </c>
      <c r="BP126" s="134">
        <v>0</v>
      </c>
      <c r="BQ126" s="134">
        <v>676</v>
      </c>
      <c r="BR126" s="135">
        <v>7.4278160486518752E-2</v>
      </c>
      <c r="BS126" s="136">
        <v>38.92</v>
      </c>
      <c r="BT126" s="136">
        <v>38.92</v>
      </c>
      <c r="BU126" s="136">
        <v>36.69</v>
      </c>
      <c r="BV126" s="136">
        <v>39.669999999999987</v>
      </c>
      <c r="BW126" s="137">
        <v>0</v>
      </c>
      <c r="BX126" s="137">
        <v>0</v>
      </c>
      <c r="BY126" s="138">
        <v>0</v>
      </c>
    </row>
    <row r="127" spans="1:77">
      <c r="A127" s="130" t="s">
        <v>616</v>
      </c>
      <c r="B127" s="131" t="s">
        <v>617</v>
      </c>
      <c r="C127" s="132" t="s">
        <v>618</v>
      </c>
      <c r="D127" s="132" t="s">
        <v>143</v>
      </c>
      <c r="E127" s="133">
        <v>158.63333333333333</v>
      </c>
      <c r="F127" s="133">
        <v>24.861111111111111</v>
      </c>
      <c r="G127" s="134">
        <v>162</v>
      </c>
      <c r="H127" s="134">
        <v>895</v>
      </c>
      <c r="I127" s="134">
        <v>341</v>
      </c>
      <c r="J127" s="134">
        <v>0</v>
      </c>
      <c r="K127" s="134">
        <v>1398</v>
      </c>
      <c r="L127" s="134">
        <v>1236</v>
      </c>
      <c r="M127" s="134">
        <v>1398</v>
      </c>
      <c r="N127" s="134">
        <v>21</v>
      </c>
      <c r="O127" s="132">
        <v>157.77222222222221</v>
      </c>
      <c r="P127" s="132">
        <v>149.25</v>
      </c>
      <c r="Q127" s="132">
        <v>152.65555555555557</v>
      </c>
      <c r="R127" s="132">
        <v>136.8111111111111</v>
      </c>
      <c r="S127" s="132">
        <v>136.36666666666667</v>
      </c>
      <c r="T127" s="132">
        <v>136.8388888888889</v>
      </c>
      <c r="U127" s="132">
        <v>161.06666666666666</v>
      </c>
      <c r="V127" s="132">
        <v>175.13888888888889</v>
      </c>
      <c r="W127" s="132">
        <v>152.96666666666667</v>
      </c>
      <c r="X127" s="132">
        <v>0</v>
      </c>
      <c r="Y127" s="132">
        <v>0</v>
      </c>
      <c r="Z127" s="132">
        <v>0</v>
      </c>
      <c r="AA127" s="132">
        <v>0</v>
      </c>
      <c r="AB127" s="132">
        <v>872.98888888888882</v>
      </c>
      <c r="AC127" s="132">
        <v>328.10555555555555</v>
      </c>
      <c r="AD127" s="132">
        <v>0</v>
      </c>
      <c r="AE127" s="132">
        <v>1358.8666666666668</v>
      </c>
      <c r="AF127" s="132">
        <v>1201.0944444444444</v>
      </c>
      <c r="AG127" s="132">
        <v>1358.8666666666668</v>
      </c>
      <c r="AH127" s="133">
        <v>174.31666666666666</v>
      </c>
      <c r="AI127" s="133">
        <v>17.683333333333334</v>
      </c>
      <c r="AJ127" s="133">
        <v>192</v>
      </c>
      <c r="AK127" s="134">
        <v>128</v>
      </c>
      <c r="AL127" s="139">
        <v>145</v>
      </c>
      <c r="AM127" s="132">
        <v>145</v>
      </c>
      <c r="AN127" s="132">
        <v>143</v>
      </c>
      <c r="AO127" s="132">
        <v>138</v>
      </c>
      <c r="AP127" s="132">
        <v>142</v>
      </c>
      <c r="AQ127" s="132">
        <v>161</v>
      </c>
      <c r="AR127" s="132">
        <v>191</v>
      </c>
      <c r="AS127" s="132">
        <v>169</v>
      </c>
      <c r="AT127" s="132">
        <v>0</v>
      </c>
      <c r="AU127" s="132">
        <v>0</v>
      </c>
      <c r="AV127" s="132">
        <v>0</v>
      </c>
      <c r="AW127" s="132">
        <v>0</v>
      </c>
      <c r="AX127" s="132">
        <v>874</v>
      </c>
      <c r="AY127" s="132">
        <v>360</v>
      </c>
      <c r="AZ127" s="132">
        <v>0</v>
      </c>
      <c r="BA127" s="132">
        <v>1362</v>
      </c>
      <c r="BB127" s="132">
        <v>1234</v>
      </c>
      <c r="BC127" s="132">
        <v>1362</v>
      </c>
      <c r="BD127" s="132">
        <v>48</v>
      </c>
      <c r="BE127" s="132">
        <v>80</v>
      </c>
      <c r="BF127" s="132">
        <v>0</v>
      </c>
      <c r="BG127" s="132">
        <v>329</v>
      </c>
      <c r="BH127" s="132">
        <v>185</v>
      </c>
      <c r="BI127" s="134">
        <v>14</v>
      </c>
      <c r="BJ127" s="134">
        <v>199</v>
      </c>
      <c r="BK127" s="134">
        <v>34</v>
      </c>
      <c r="BL127" s="134">
        <v>149</v>
      </c>
      <c r="BM127" s="134">
        <v>1211</v>
      </c>
      <c r="BN127" s="134">
        <v>854</v>
      </c>
      <c r="BO127" s="134">
        <v>357</v>
      </c>
      <c r="BP127" s="134">
        <v>0</v>
      </c>
      <c r="BQ127" s="134">
        <v>1360</v>
      </c>
      <c r="BR127" s="135">
        <v>6.0713099937285575E-2</v>
      </c>
      <c r="BS127" s="136">
        <v>75.165000000000006</v>
      </c>
      <c r="BT127" s="136">
        <v>72.165000000000006</v>
      </c>
      <c r="BU127" s="136">
        <v>71.165000000000006</v>
      </c>
      <c r="BV127" s="136">
        <v>76.165000000000006</v>
      </c>
      <c r="BW127" s="137">
        <v>0</v>
      </c>
      <c r="BX127" s="137">
        <v>0</v>
      </c>
      <c r="BY127" s="138">
        <v>0</v>
      </c>
    </row>
    <row r="128" spans="1:77">
      <c r="A128" s="130" t="s">
        <v>619</v>
      </c>
      <c r="B128" s="131" t="s">
        <v>620</v>
      </c>
      <c r="C128" s="132" t="s">
        <v>621</v>
      </c>
      <c r="D128" s="132" t="s">
        <v>143</v>
      </c>
      <c r="E128" s="133">
        <v>81.955555555555549</v>
      </c>
      <c r="F128" s="133">
        <v>0</v>
      </c>
      <c r="G128" s="134">
        <v>0</v>
      </c>
      <c r="H128" s="134">
        <v>0</v>
      </c>
      <c r="I128" s="134">
        <v>0</v>
      </c>
      <c r="J128" s="134">
        <v>510</v>
      </c>
      <c r="K128" s="134">
        <v>510</v>
      </c>
      <c r="L128" s="134">
        <v>510</v>
      </c>
      <c r="M128" s="134">
        <v>0</v>
      </c>
      <c r="N128" s="134">
        <v>1</v>
      </c>
      <c r="O128" s="132">
        <v>0</v>
      </c>
      <c r="P128" s="132">
        <v>0</v>
      </c>
      <c r="Q128" s="132">
        <v>0</v>
      </c>
      <c r="R128" s="132">
        <v>0</v>
      </c>
      <c r="S128" s="132">
        <v>0</v>
      </c>
      <c r="T128" s="132">
        <v>0</v>
      </c>
      <c r="U128" s="132">
        <v>0</v>
      </c>
      <c r="V128" s="132">
        <v>0</v>
      </c>
      <c r="W128" s="132">
        <v>0</v>
      </c>
      <c r="X128" s="132">
        <v>137.1611111111111</v>
      </c>
      <c r="Y128" s="132">
        <v>135.74444444444444</v>
      </c>
      <c r="Z128" s="132">
        <v>124.4</v>
      </c>
      <c r="AA128" s="132">
        <v>104.96111111111111</v>
      </c>
      <c r="AB128" s="132">
        <v>0</v>
      </c>
      <c r="AC128" s="132">
        <v>0</v>
      </c>
      <c r="AD128" s="132">
        <v>502.26666666666665</v>
      </c>
      <c r="AE128" s="132">
        <v>0</v>
      </c>
      <c r="AF128" s="132">
        <v>502.26666666666665</v>
      </c>
      <c r="AG128" s="132">
        <v>502.26666666666665</v>
      </c>
      <c r="AH128" s="133">
        <v>79.150000000000006</v>
      </c>
      <c r="AI128" s="133">
        <v>0.5</v>
      </c>
      <c r="AJ128" s="133">
        <v>79.650000000000006</v>
      </c>
      <c r="AK128" s="134">
        <v>0</v>
      </c>
      <c r="AL128" s="139">
        <v>0</v>
      </c>
      <c r="AM128" s="132">
        <v>0</v>
      </c>
      <c r="AN128" s="132">
        <v>0</v>
      </c>
      <c r="AO128" s="132">
        <v>0</v>
      </c>
      <c r="AP128" s="132">
        <v>0</v>
      </c>
      <c r="AQ128" s="132">
        <v>0</v>
      </c>
      <c r="AR128" s="132">
        <v>0</v>
      </c>
      <c r="AS128" s="132">
        <v>0</v>
      </c>
      <c r="AT128" s="132">
        <v>0</v>
      </c>
      <c r="AU128" s="132">
        <v>0</v>
      </c>
      <c r="AV128" s="132">
        <v>0</v>
      </c>
      <c r="AW128" s="132">
        <v>0</v>
      </c>
      <c r="AX128" s="132">
        <v>0</v>
      </c>
      <c r="AY128" s="132">
        <v>0</v>
      </c>
      <c r="AZ128" s="132">
        <v>0</v>
      </c>
      <c r="BA128" s="132">
        <v>0</v>
      </c>
      <c r="BB128" s="132">
        <v>0</v>
      </c>
      <c r="BC128" s="132">
        <v>0</v>
      </c>
      <c r="BD128" s="132">
        <v>0</v>
      </c>
      <c r="BE128" s="132">
        <v>0</v>
      </c>
      <c r="BF128" s="132">
        <v>0</v>
      </c>
      <c r="BG128" s="132">
        <v>0</v>
      </c>
      <c r="BH128" s="132">
        <v>0</v>
      </c>
      <c r="BI128" s="134">
        <v>0</v>
      </c>
      <c r="BJ128" s="134">
        <v>0</v>
      </c>
      <c r="BK128" s="134">
        <v>0</v>
      </c>
      <c r="BL128" s="134">
        <v>0</v>
      </c>
      <c r="BM128" s="134">
        <v>0</v>
      </c>
      <c r="BN128" s="134">
        <v>0</v>
      </c>
      <c r="BO128" s="134">
        <v>0</v>
      </c>
      <c r="BP128" s="134">
        <v>0</v>
      </c>
      <c r="BQ128" s="134">
        <v>0</v>
      </c>
      <c r="BR128" s="135">
        <v>5.6332158221797379E-2</v>
      </c>
      <c r="BS128" s="136">
        <v>0</v>
      </c>
      <c r="BT128" s="136">
        <v>0</v>
      </c>
      <c r="BU128" s="136">
        <v>0</v>
      </c>
      <c r="BV128" s="136">
        <v>0</v>
      </c>
      <c r="BW128" s="137">
        <v>0</v>
      </c>
      <c r="BX128" s="137">
        <v>0</v>
      </c>
      <c r="BY128" s="138">
        <v>0</v>
      </c>
    </row>
    <row r="129" spans="1:77">
      <c r="A129" s="130" t="s">
        <v>622</v>
      </c>
      <c r="B129" s="131" t="s">
        <v>623</v>
      </c>
      <c r="C129" s="132" t="s">
        <v>624</v>
      </c>
      <c r="D129" s="132" t="s">
        <v>143</v>
      </c>
      <c r="E129" s="133">
        <v>39.161111111111111</v>
      </c>
      <c r="F129" s="133">
        <v>0</v>
      </c>
      <c r="G129" s="134">
        <v>35</v>
      </c>
      <c r="H129" s="134">
        <v>208</v>
      </c>
      <c r="I129" s="134">
        <v>73</v>
      </c>
      <c r="J129" s="134">
        <v>0</v>
      </c>
      <c r="K129" s="134">
        <v>316</v>
      </c>
      <c r="L129" s="134">
        <v>281</v>
      </c>
      <c r="M129" s="134">
        <v>316</v>
      </c>
      <c r="N129" s="134">
        <v>0</v>
      </c>
      <c r="O129" s="132">
        <v>33.18333333333333</v>
      </c>
      <c r="P129" s="132">
        <v>32.866666666666667</v>
      </c>
      <c r="Q129" s="132">
        <v>32.888888888888886</v>
      </c>
      <c r="R129" s="132">
        <v>36.072222222222223</v>
      </c>
      <c r="S129" s="132">
        <v>30.25</v>
      </c>
      <c r="T129" s="132">
        <v>29.583333333333332</v>
      </c>
      <c r="U129" s="132">
        <v>42.838888888888889</v>
      </c>
      <c r="V129" s="132">
        <v>31.488888888888887</v>
      </c>
      <c r="W129" s="132">
        <v>42.533333333333331</v>
      </c>
      <c r="X129" s="132">
        <v>0</v>
      </c>
      <c r="Y129" s="132">
        <v>0</v>
      </c>
      <c r="Z129" s="132">
        <v>0</v>
      </c>
      <c r="AA129" s="132">
        <v>0</v>
      </c>
      <c r="AB129" s="132">
        <v>204.5</v>
      </c>
      <c r="AC129" s="132">
        <v>74.022222222222211</v>
      </c>
      <c r="AD129" s="132">
        <v>0</v>
      </c>
      <c r="AE129" s="132">
        <v>311.70555555555552</v>
      </c>
      <c r="AF129" s="132">
        <v>278.52222222222224</v>
      </c>
      <c r="AG129" s="132">
        <v>311.70555555555552</v>
      </c>
      <c r="AH129" s="133">
        <v>36.288888888888891</v>
      </c>
      <c r="AI129" s="133">
        <v>0</v>
      </c>
      <c r="AJ129" s="133">
        <v>36.288888888888891</v>
      </c>
      <c r="AK129" s="134">
        <v>29</v>
      </c>
      <c r="AL129" s="139">
        <v>38</v>
      </c>
      <c r="AM129" s="132">
        <v>29</v>
      </c>
      <c r="AN129" s="132">
        <v>36</v>
      </c>
      <c r="AO129" s="132">
        <v>35</v>
      </c>
      <c r="AP129" s="132">
        <v>32</v>
      </c>
      <c r="AQ129" s="132">
        <v>30</v>
      </c>
      <c r="AR129" s="132">
        <v>41</v>
      </c>
      <c r="AS129" s="132">
        <v>30</v>
      </c>
      <c r="AT129" s="132">
        <v>0</v>
      </c>
      <c r="AU129" s="132">
        <v>0</v>
      </c>
      <c r="AV129" s="132">
        <v>0</v>
      </c>
      <c r="AW129" s="132">
        <v>0</v>
      </c>
      <c r="AX129" s="132">
        <v>200</v>
      </c>
      <c r="AY129" s="132">
        <v>71</v>
      </c>
      <c r="AZ129" s="132">
        <v>0</v>
      </c>
      <c r="BA129" s="132">
        <v>300</v>
      </c>
      <c r="BB129" s="132">
        <v>271</v>
      </c>
      <c r="BC129" s="132">
        <v>300</v>
      </c>
      <c r="BD129" s="132">
        <v>29</v>
      </c>
      <c r="BE129" s="132">
        <v>0</v>
      </c>
      <c r="BF129" s="132">
        <v>0</v>
      </c>
      <c r="BG129" s="132">
        <v>168</v>
      </c>
      <c r="BH129" s="132">
        <v>29</v>
      </c>
      <c r="BI129" s="134">
        <v>0</v>
      </c>
      <c r="BJ129" s="134">
        <v>29</v>
      </c>
      <c r="BK129" s="134">
        <v>102</v>
      </c>
      <c r="BL129" s="134">
        <v>30</v>
      </c>
      <c r="BM129" s="134">
        <v>271</v>
      </c>
      <c r="BN129" s="134">
        <v>196</v>
      </c>
      <c r="BO129" s="134">
        <v>75</v>
      </c>
      <c r="BP129" s="134">
        <v>0</v>
      </c>
      <c r="BQ129" s="134">
        <v>301</v>
      </c>
      <c r="BR129" s="135">
        <v>6.0576923076923028E-2</v>
      </c>
      <c r="BS129" s="136">
        <v>19</v>
      </c>
      <c r="BT129" s="136">
        <v>19</v>
      </c>
      <c r="BU129" s="136">
        <v>17</v>
      </c>
      <c r="BV129" s="136">
        <v>18</v>
      </c>
      <c r="BW129" s="137">
        <v>0</v>
      </c>
      <c r="BX129" s="137">
        <v>0</v>
      </c>
      <c r="BY129" s="138">
        <v>0</v>
      </c>
    </row>
    <row r="130" spans="1:77">
      <c r="A130" s="130" t="s">
        <v>625</v>
      </c>
      <c r="B130" s="131" t="s">
        <v>626</v>
      </c>
      <c r="C130" s="132" t="s">
        <v>627</v>
      </c>
      <c r="D130" s="132" t="s">
        <v>143</v>
      </c>
      <c r="E130" s="133">
        <v>8.3722222222222218</v>
      </c>
      <c r="F130" s="133">
        <v>0</v>
      </c>
      <c r="G130" s="134">
        <v>16</v>
      </c>
      <c r="H130" s="134">
        <v>0</v>
      </c>
      <c r="I130" s="134">
        <v>0</v>
      </c>
      <c r="J130" s="134">
        <v>0</v>
      </c>
      <c r="K130" s="134">
        <v>16</v>
      </c>
      <c r="L130" s="134">
        <v>0</v>
      </c>
      <c r="M130" s="134">
        <v>16</v>
      </c>
      <c r="N130" s="134">
        <v>0</v>
      </c>
      <c r="O130" s="132">
        <v>16.855555555555554</v>
      </c>
      <c r="P130" s="132">
        <v>0</v>
      </c>
      <c r="Q130" s="132">
        <v>0</v>
      </c>
      <c r="R130" s="132">
        <v>0</v>
      </c>
      <c r="S130" s="132">
        <v>0</v>
      </c>
      <c r="T130" s="132">
        <v>0</v>
      </c>
      <c r="U130" s="132">
        <v>0</v>
      </c>
      <c r="V130" s="132">
        <v>0</v>
      </c>
      <c r="W130" s="132">
        <v>0</v>
      </c>
      <c r="X130" s="132">
        <v>0</v>
      </c>
      <c r="Y130" s="132">
        <v>0</v>
      </c>
      <c r="Z130" s="132">
        <v>0</v>
      </c>
      <c r="AA130" s="132">
        <v>0</v>
      </c>
      <c r="AB130" s="132">
        <v>0</v>
      </c>
      <c r="AC130" s="132">
        <v>0</v>
      </c>
      <c r="AD130" s="132">
        <v>0</v>
      </c>
      <c r="AE130" s="132">
        <v>16.855555555555554</v>
      </c>
      <c r="AF130" s="132">
        <v>0</v>
      </c>
      <c r="AG130" s="132">
        <v>16.855555555555554</v>
      </c>
      <c r="AH130" s="133">
        <v>4.7944444444444443</v>
      </c>
      <c r="AI130" s="133">
        <v>0</v>
      </c>
      <c r="AJ130" s="133">
        <v>4.7944444444444443</v>
      </c>
      <c r="AK130" s="134">
        <v>0</v>
      </c>
      <c r="AL130" s="139">
        <v>0</v>
      </c>
      <c r="AM130" s="132">
        <v>0</v>
      </c>
      <c r="AN130" s="132">
        <v>0</v>
      </c>
      <c r="AO130" s="132">
        <v>0</v>
      </c>
      <c r="AP130" s="132">
        <v>0</v>
      </c>
      <c r="AQ130" s="132">
        <v>0</v>
      </c>
      <c r="AR130" s="132">
        <v>0</v>
      </c>
      <c r="AS130" s="132">
        <v>0</v>
      </c>
      <c r="AT130" s="132">
        <v>0</v>
      </c>
      <c r="AU130" s="132">
        <v>0</v>
      </c>
      <c r="AV130" s="132">
        <v>0</v>
      </c>
      <c r="AW130" s="132">
        <v>0</v>
      </c>
      <c r="AX130" s="132">
        <v>0</v>
      </c>
      <c r="AY130" s="132">
        <v>0</v>
      </c>
      <c r="AZ130" s="132">
        <v>0</v>
      </c>
      <c r="BA130" s="132">
        <v>0</v>
      </c>
      <c r="BB130" s="132">
        <v>0</v>
      </c>
      <c r="BC130" s="132">
        <v>0</v>
      </c>
      <c r="BD130" s="132">
        <v>0</v>
      </c>
      <c r="BE130" s="132">
        <v>0</v>
      </c>
      <c r="BF130" s="132">
        <v>0</v>
      </c>
      <c r="BG130" s="132">
        <v>0</v>
      </c>
      <c r="BH130" s="132">
        <v>0</v>
      </c>
      <c r="BI130" s="134">
        <v>0</v>
      </c>
      <c r="BJ130" s="134">
        <v>0</v>
      </c>
      <c r="BK130" s="134">
        <v>0</v>
      </c>
      <c r="BL130" s="134">
        <v>0</v>
      </c>
      <c r="BM130" s="134">
        <v>0</v>
      </c>
      <c r="BN130" s="134">
        <v>0</v>
      </c>
      <c r="BO130" s="134">
        <v>0</v>
      </c>
      <c r="BP130" s="134">
        <v>0</v>
      </c>
      <c r="BQ130" s="134">
        <v>0</v>
      </c>
      <c r="BR130" s="135">
        <v>9.9999999999999978E-2</v>
      </c>
      <c r="BS130" s="136">
        <v>0</v>
      </c>
      <c r="BT130" s="136">
        <v>0</v>
      </c>
      <c r="BU130" s="136">
        <v>0</v>
      </c>
      <c r="BV130" s="136">
        <v>0</v>
      </c>
      <c r="BW130" s="137">
        <v>0</v>
      </c>
      <c r="BX130" s="137">
        <v>0</v>
      </c>
      <c r="BY130" s="138">
        <v>0</v>
      </c>
    </row>
    <row r="131" spans="1:77">
      <c r="A131" s="130" t="s">
        <v>628</v>
      </c>
      <c r="B131" s="131" t="s">
        <v>629</v>
      </c>
      <c r="C131" s="132" t="s">
        <v>630</v>
      </c>
      <c r="D131" s="132" t="s">
        <v>143</v>
      </c>
      <c r="E131" s="133">
        <v>65.844444444444449</v>
      </c>
      <c r="F131" s="133">
        <v>0</v>
      </c>
      <c r="G131" s="134">
        <v>43</v>
      </c>
      <c r="H131" s="134">
        <v>261</v>
      </c>
      <c r="I131" s="134">
        <v>64</v>
      </c>
      <c r="J131" s="134">
        <v>0</v>
      </c>
      <c r="K131" s="134">
        <v>368</v>
      </c>
      <c r="L131" s="134">
        <v>325</v>
      </c>
      <c r="M131" s="134">
        <v>368</v>
      </c>
      <c r="N131" s="134">
        <v>0</v>
      </c>
      <c r="O131" s="132">
        <v>43.838888888888889</v>
      </c>
      <c r="P131" s="132">
        <v>47.983333333333334</v>
      </c>
      <c r="Q131" s="132">
        <v>41.93888888888889</v>
      </c>
      <c r="R131" s="132">
        <v>45.444444444444443</v>
      </c>
      <c r="S131" s="132">
        <v>47.611111111111114</v>
      </c>
      <c r="T131" s="132">
        <v>34.966666666666669</v>
      </c>
      <c r="U131" s="132">
        <v>38.544444444444444</v>
      </c>
      <c r="V131" s="132">
        <v>37.450000000000003</v>
      </c>
      <c r="W131" s="132">
        <v>27.366666666666667</v>
      </c>
      <c r="X131" s="132">
        <v>0</v>
      </c>
      <c r="Y131" s="132">
        <v>0</v>
      </c>
      <c r="Z131" s="132">
        <v>0</v>
      </c>
      <c r="AA131" s="132">
        <v>0</v>
      </c>
      <c r="AB131" s="132">
        <v>256.48888888888888</v>
      </c>
      <c r="AC131" s="132">
        <v>64.816666666666663</v>
      </c>
      <c r="AD131" s="132">
        <v>0</v>
      </c>
      <c r="AE131" s="132">
        <v>365.14444444444445</v>
      </c>
      <c r="AF131" s="132">
        <v>321.30555555555554</v>
      </c>
      <c r="AG131" s="132">
        <v>365.14444444444445</v>
      </c>
      <c r="AH131" s="133">
        <v>72.583333333333329</v>
      </c>
      <c r="AI131" s="133">
        <v>1.1111111111111112E-2</v>
      </c>
      <c r="AJ131" s="133">
        <v>72.594444444444434</v>
      </c>
      <c r="AK131" s="134">
        <v>43</v>
      </c>
      <c r="AL131" s="139">
        <v>39</v>
      </c>
      <c r="AM131" s="132">
        <v>42</v>
      </c>
      <c r="AN131" s="132">
        <v>43</v>
      </c>
      <c r="AO131" s="132">
        <v>40</v>
      </c>
      <c r="AP131" s="132">
        <v>42</v>
      </c>
      <c r="AQ131" s="132">
        <v>29</v>
      </c>
      <c r="AR131" s="132">
        <v>30</v>
      </c>
      <c r="AS131" s="132">
        <v>29</v>
      </c>
      <c r="AT131" s="132">
        <v>0</v>
      </c>
      <c r="AU131" s="132">
        <v>0</v>
      </c>
      <c r="AV131" s="132">
        <v>0</v>
      </c>
      <c r="AW131" s="132">
        <v>0</v>
      </c>
      <c r="AX131" s="132">
        <v>235</v>
      </c>
      <c r="AY131" s="132">
        <v>59</v>
      </c>
      <c r="AZ131" s="132">
        <v>0</v>
      </c>
      <c r="BA131" s="132">
        <v>337</v>
      </c>
      <c r="BB131" s="132">
        <v>294</v>
      </c>
      <c r="BC131" s="132">
        <v>337</v>
      </c>
      <c r="BD131" s="132">
        <v>43</v>
      </c>
      <c r="BE131" s="132">
        <v>0</v>
      </c>
      <c r="BF131" s="132">
        <v>0</v>
      </c>
      <c r="BG131" s="132">
        <v>190</v>
      </c>
      <c r="BH131" s="132">
        <v>82</v>
      </c>
      <c r="BI131" s="134">
        <v>0</v>
      </c>
      <c r="BJ131" s="134">
        <v>82</v>
      </c>
      <c r="BK131" s="134">
        <v>12</v>
      </c>
      <c r="BL131" s="134">
        <v>43</v>
      </c>
      <c r="BM131" s="134">
        <v>294</v>
      </c>
      <c r="BN131" s="134">
        <v>237</v>
      </c>
      <c r="BO131" s="134">
        <v>57</v>
      </c>
      <c r="BP131" s="134">
        <v>0</v>
      </c>
      <c r="BQ131" s="134">
        <v>337</v>
      </c>
      <c r="BR131" s="135">
        <v>6.8716741711011164E-2</v>
      </c>
      <c r="BS131" s="136">
        <v>28</v>
      </c>
      <c r="BT131" s="136">
        <v>27</v>
      </c>
      <c r="BU131" s="136">
        <v>27</v>
      </c>
      <c r="BV131" s="136">
        <v>28</v>
      </c>
      <c r="BW131" s="137">
        <v>0</v>
      </c>
      <c r="BX131" s="137">
        <v>0</v>
      </c>
      <c r="BY131" s="138">
        <v>0</v>
      </c>
    </row>
    <row r="132" spans="1:77">
      <c r="A132" s="130" t="s">
        <v>631</v>
      </c>
      <c r="B132" s="131" t="s">
        <v>632</v>
      </c>
      <c r="C132" s="132" t="s">
        <v>633</v>
      </c>
      <c r="D132" s="132" t="s">
        <v>143</v>
      </c>
      <c r="E132" s="133">
        <v>128.1611111111111</v>
      </c>
      <c r="F132" s="133">
        <v>3.4055555555555554</v>
      </c>
      <c r="G132" s="134">
        <v>161</v>
      </c>
      <c r="H132" s="134">
        <v>924</v>
      </c>
      <c r="I132" s="134">
        <v>261</v>
      </c>
      <c r="J132" s="134">
        <v>0</v>
      </c>
      <c r="K132" s="134">
        <v>1346</v>
      </c>
      <c r="L132" s="134">
        <v>1185</v>
      </c>
      <c r="M132" s="134">
        <v>1346</v>
      </c>
      <c r="N132" s="134">
        <v>6</v>
      </c>
      <c r="O132" s="132">
        <v>154.84444444444443</v>
      </c>
      <c r="P132" s="132">
        <v>171.15</v>
      </c>
      <c r="Q132" s="132">
        <v>146.54444444444445</v>
      </c>
      <c r="R132" s="132">
        <v>143.24444444444444</v>
      </c>
      <c r="S132" s="132">
        <v>161.70555555555555</v>
      </c>
      <c r="T132" s="132">
        <v>122.26111111111111</v>
      </c>
      <c r="U132" s="132">
        <v>148.85555555555555</v>
      </c>
      <c r="V132" s="132">
        <v>140.36666666666667</v>
      </c>
      <c r="W132" s="132">
        <v>121.29444444444445</v>
      </c>
      <c r="X132" s="132">
        <v>0</v>
      </c>
      <c r="Y132" s="132">
        <v>0</v>
      </c>
      <c r="Z132" s="132">
        <v>0</v>
      </c>
      <c r="AA132" s="132">
        <v>0</v>
      </c>
      <c r="AB132" s="132">
        <v>893.76111111111095</v>
      </c>
      <c r="AC132" s="132">
        <v>261.66111111111115</v>
      </c>
      <c r="AD132" s="132">
        <v>0</v>
      </c>
      <c r="AE132" s="132">
        <v>1310.2666666666667</v>
      </c>
      <c r="AF132" s="132">
        <v>1155.4222222222222</v>
      </c>
      <c r="AG132" s="132">
        <v>1310.2666666666667</v>
      </c>
      <c r="AH132" s="133">
        <v>145.92222222222222</v>
      </c>
      <c r="AI132" s="133">
        <v>5.6277777777777782</v>
      </c>
      <c r="AJ132" s="133">
        <v>151.54999999999998</v>
      </c>
      <c r="AK132" s="134">
        <v>154</v>
      </c>
      <c r="AL132" s="139">
        <v>165</v>
      </c>
      <c r="AM132" s="132">
        <v>189</v>
      </c>
      <c r="AN132" s="132">
        <v>148</v>
      </c>
      <c r="AO132" s="132">
        <v>149</v>
      </c>
      <c r="AP132" s="132">
        <v>176</v>
      </c>
      <c r="AQ132" s="132">
        <v>129</v>
      </c>
      <c r="AR132" s="132">
        <v>179</v>
      </c>
      <c r="AS132" s="132">
        <v>136</v>
      </c>
      <c r="AT132" s="132">
        <v>0</v>
      </c>
      <c r="AU132" s="132">
        <v>0</v>
      </c>
      <c r="AV132" s="132">
        <v>0</v>
      </c>
      <c r="AW132" s="132">
        <v>0</v>
      </c>
      <c r="AX132" s="132">
        <v>956</v>
      </c>
      <c r="AY132" s="132">
        <v>315</v>
      </c>
      <c r="AZ132" s="132">
        <v>0</v>
      </c>
      <c r="BA132" s="132">
        <v>1425</v>
      </c>
      <c r="BB132" s="132">
        <v>1271</v>
      </c>
      <c r="BC132" s="132">
        <v>1425</v>
      </c>
      <c r="BD132" s="132">
        <v>154</v>
      </c>
      <c r="BE132" s="132">
        <v>0</v>
      </c>
      <c r="BF132" s="132">
        <v>0</v>
      </c>
      <c r="BG132" s="132">
        <v>952</v>
      </c>
      <c r="BH132" s="132">
        <v>144</v>
      </c>
      <c r="BI132" s="134">
        <v>11</v>
      </c>
      <c r="BJ132" s="134">
        <v>155</v>
      </c>
      <c r="BK132" s="134">
        <v>353</v>
      </c>
      <c r="BL132" s="134">
        <v>138</v>
      </c>
      <c r="BM132" s="134">
        <v>1288</v>
      </c>
      <c r="BN132" s="134">
        <v>825</v>
      </c>
      <c r="BO132" s="134">
        <v>275</v>
      </c>
      <c r="BP132" s="134">
        <v>188</v>
      </c>
      <c r="BQ132" s="134">
        <v>1426</v>
      </c>
      <c r="BR132" s="135">
        <v>5.9352215367358352E-2</v>
      </c>
      <c r="BS132" s="136">
        <v>72.314999999999998</v>
      </c>
      <c r="BT132" s="136">
        <v>66.314999999999998</v>
      </c>
      <c r="BU132" s="136">
        <v>64.314999999999998</v>
      </c>
      <c r="BV132" s="136">
        <v>73.314999999999998</v>
      </c>
      <c r="BW132" s="137">
        <v>0</v>
      </c>
      <c r="BX132" s="137">
        <v>0</v>
      </c>
      <c r="BY132" s="138">
        <v>0</v>
      </c>
    </row>
    <row r="133" spans="1:77">
      <c r="A133" s="130" t="s">
        <v>634</v>
      </c>
      <c r="B133" s="131" t="s">
        <v>635</v>
      </c>
      <c r="C133" s="132" t="s">
        <v>636</v>
      </c>
      <c r="D133" s="132" t="s">
        <v>143</v>
      </c>
      <c r="E133" s="133">
        <v>54.461111111111109</v>
      </c>
      <c r="F133" s="133">
        <v>6.0333333333333332</v>
      </c>
      <c r="G133" s="134">
        <v>88</v>
      </c>
      <c r="H133" s="134">
        <v>321</v>
      </c>
      <c r="I133" s="134">
        <v>0</v>
      </c>
      <c r="J133" s="134">
        <v>0</v>
      </c>
      <c r="K133" s="134">
        <v>409</v>
      </c>
      <c r="L133" s="134">
        <v>321</v>
      </c>
      <c r="M133" s="134">
        <v>409</v>
      </c>
      <c r="N133" s="134">
        <v>6</v>
      </c>
      <c r="O133" s="132">
        <v>84.438888888888883</v>
      </c>
      <c r="P133" s="132">
        <v>61.511111111111113</v>
      </c>
      <c r="Q133" s="132">
        <v>59.038888888888891</v>
      </c>
      <c r="R133" s="132">
        <v>50.527777777777779</v>
      </c>
      <c r="S133" s="132">
        <v>51.633333333333333</v>
      </c>
      <c r="T133" s="132">
        <v>44.43888888888889</v>
      </c>
      <c r="U133" s="132">
        <v>36.93888888888889</v>
      </c>
      <c r="V133" s="132">
        <v>0</v>
      </c>
      <c r="W133" s="132">
        <v>0</v>
      </c>
      <c r="X133" s="132">
        <v>0</v>
      </c>
      <c r="Y133" s="132">
        <v>0</v>
      </c>
      <c r="Z133" s="132">
        <v>0</v>
      </c>
      <c r="AA133" s="132">
        <v>0</v>
      </c>
      <c r="AB133" s="132">
        <v>304.08888888888885</v>
      </c>
      <c r="AC133" s="132">
        <v>0</v>
      </c>
      <c r="AD133" s="132">
        <v>0</v>
      </c>
      <c r="AE133" s="132">
        <v>388.52777777777771</v>
      </c>
      <c r="AF133" s="132">
        <v>304.08888888888885</v>
      </c>
      <c r="AG133" s="132">
        <v>388.52777777777771</v>
      </c>
      <c r="AH133" s="133">
        <v>39.388888888888886</v>
      </c>
      <c r="AI133" s="133">
        <v>4.8499999999999996</v>
      </c>
      <c r="AJ133" s="133">
        <v>44.238888888888887</v>
      </c>
      <c r="AK133" s="134">
        <v>79</v>
      </c>
      <c r="AL133" s="139">
        <v>70</v>
      </c>
      <c r="AM133" s="132">
        <v>60</v>
      </c>
      <c r="AN133" s="132">
        <v>57</v>
      </c>
      <c r="AO133" s="132">
        <v>44</v>
      </c>
      <c r="AP133" s="132">
        <v>49</v>
      </c>
      <c r="AQ133" s="132">
        <v>40</v>
      </c>
      <c r="AR133" s="132">
        <v>0</v>
      </c>
      <c r="AS133" s="132">
        <v>0</v>
      </c>
      <c r="AT133" s="132">
        <v>0</v>
      </c>
      <c r="AU133" s="132">
        <v>0</v>
      </c>
      <c r="AV133" s="132">
        <v>0</v>
      </c>
      <c r="AW133" s="132">
        <v>0</v>
      </c>
      <c r="AX133" s="132">
        <v>320</v>
      </c>
      <c r="AY133" s="132">
        <v>0</v>
      </c>
      <c r="AZ133" s="132">
        <v>0</v>
      </c>
      <c r="BA133" s="132">
        <v>399</v>
      </c>
      <c r="BB133" s="132">
        <v>320</v>
      </c>
      <c r="BC133" s="132">
        <v>399</v>
      </c>
      <c r="BD133" s="132">
        <v>77</v>
      </c>
      <c r="BE133" s="132">
        <v>2</v>
      </c>
      <c r="BF133" s="132">
        <v>0</v>
      </c>
      <c r="BG133" s="132">
        <v>197</v>
      </c>
      <c r="BH133" s="132">
        <v>50</v>
      </c>
      <c r="BI133" s="134">
        <v>7</v>
      </c>
      <c r="BJ133" s="134">
        <v>57</v>
      </c>
      <c r="BK133" s="134">
        <v>22</v>
      </c>
      <c r="BL133" s="134">
        <v>73</v>
      </c>
      <c r="BM133" s="134">
        <v>326</v>
      </c>
      <c r="BN133" s="134">
        <v>326</v>
      </c>
      <c r="BO133" s="134">
        <v>0</v>
      </c>
      <c r="BP133" s="134">
        <v>0</v>
      </c>
      <c r="BQ133" s="134">
        <v>399</v>
      </c>
      <c r="BR133" s="135">
        <v>4.531926406926412E-2</v>
      </c>
      <c r="BS133" s="136">
        <v>31.024999999999999</v>
      </c>
      <c r="BT133" s="136">
        <v>29.024999999999999</v>
      </c>
      <c r="BU133" s="136">
        <v>27.625</v>
      </c>
      <c r="BV133" s="136">
        <v>31.024999999999999</v>
      </c>
      <c r="BW133" s="137">
        <v>0</v>
      </c>
      <c r="BX133" s="137">
        <v>0</v>
      </c>
      <c r="BY133" s="138">
        <v>0</v>
      </c>
    </row>
    <row r="134" spans="1:77">
      <c r="A134" s="130" t="s">
        <v>637</v>
      </c>
      <c r="B134" s="131" t="s">
        <v>638</v>
      </c>
      <c r="C134" s="132" t="s">
        <v>639</v>
      </c>
      <c r="D134" s="132" t="s">
        <v>143</v>
      </c>
      <c r="E134" s="133">
        <v>0</v>
      </c>
      <c r="F134" s="133">
        <v>0</v>
      </c>
      <c r="G134" s="134">
        <v>9</v>
      </c>
      <c r="H134" s="134">
        <v>33</v>
      </c>
      <c r="I134" s="134">
        <v>22</v>
      </c>
      <c r="J134" s="134">
        <v>0</v>
      </c>
      <c r="K134" s="134">
        <v>64</v>
      </c>
      <c r="L134" s="134">
        <v>55</v>
      </c>
      <c r="M134" s="134">
        <v>64</v>
      </c>
      <c r="N134" s="134">
        <v>3</v>
      </c>
      <c r="O134" s="132">
        <v>8.7222222222222214</v>
      </c>
      <c r="P134" s="132">
        <v>5.5777777777777775</v>
      </c>
      <c r="Q134" s="132">
        <v>9.344444444444445</v>
      </c>
      <c r="R134" s="132">
        <v>5.3555555555555552</v>
      </c>
      <c r="S134" s="132">
        <v>6</v>
      </c>
      <c r="T134" s="132">
        <v>8.1388888888888893</v>
      </c>
      <c r="U134" s="132">
        <v>12.161111111111111</v>
      </c>
      <c r="V134" s="132">
        <v>22.088888888888889</v>
      </c>
      <c r="W134" s="132">
        <v>23.405555555555555</v>
      </c>
      <c r="X134" s="132">
        <v>0</v>
      </c>
      <c r="Y134" s="132">
        <v>0</v>
      </c>
      <c r="Z134" s="132">
        <v>0</v>
      </c>
      <c r="AA134" s="132">
        <v>0</v>
      </c>
      <c r="AB134" s="132">
        <v>46.577777777777783</v>
      </c>
      <c r="AC134" s="132">
        <v>45.49444444444444</v>
      </c>
      <c r="AD134" s="132">
        <v>0</v>
      </c>
      <c r="AE134" s="132">
        <v>100.79444444444444</v>
      </c>
      <c r="AF134" s="132">
        <v>92.072222222222223</v>
      </c>
      <c r="AG134" s="132">
        <v>100.79444444444444</v>
      </c>
      <c r="AH134" s="133">
        <v>14.5</v>
      </c>
      <c r="AI134" s="133">
        <v>17.0555555555555</v>
      </c>
      <c r="AJ134" s="133">
        <v>31.5555555555555</v>
      </c>
      <c r="AK134" s="134">
        <v>13</v>
      </c>
      <c r="AL134" s="139">
        <v>15</v>
      </c>
      <c r="AM134" s="132">
        <v>11</v>
      </c>
      <c r="AN134" s="132">
        <v>10</v>
      </c>
      <c r="AO134" s="132">
        <v>17</v>
      </c>
      <c r="AP134" s="132">
        <v>15</v>
      </c>
      <c r="AQ134" s="132">
        <v>11</v>
      </c>
      <c r="AR134" s="132">
        <v>26</v>
      </c>
      <c r="AS134" s="132">
        <v>36</v>
      </c>
      <c r="AT134" s="132">
        <v>22</v>
      </c>
      <c r="AU134" s="132">
        <v>0</v>
      </c>
      <c r="AV134" s="132">
        <v>0</v>
      </c>
      <c r="AW134" s="132">
        <v>0</v>
      </c>
      <c r="AX134" s="132">
        <v>79</v>
      </c>
      <c r="AY134" s="132">
        <v>62</v>
      </c>
      <c r="AZ134" s="132">
        <v>22</v>
      </c>
      <c r="BA134" s="132">
        <v>154</v>
      </c>
      <c r="BB134" s="132">
        <v>163</v>
      </c>
      <c r="BC134" s="132">
        <v>176</v>
      </c>
      <c r="BD134" s="132">
        <v>13</v>
      </c>
      <c r="BE134" s="132">
        <v>0</v>
      </c>
      <c r="BF134" s="132">
        <v>0</v>
      </c>
      <c r="BG134" s="132">
        <v>71</v>
      </c>
      <c r="BH134" s="132">
        <v>21</v>
      </c>
      <c r="BI134" s="134">
        <v>1</v>
      </c>
      <c r="BJ134" s="134">
        <v>22</v>
      </c>
      <c r="BK134" s="134">
        <v>3</v>
      </c>
      <c r="BL134" s="134">
        <v>25</v>
      </c>
      <c r="BM134" s="134">
        <v>150</v>
      </c>
      <c r="BN134" s="134">
        <v>89</v>
      </c>
      <c r="BO134" s="134">
        <v>61</v>
      </c>
      <c r="BP134" s="134">
        <v>0</v>
      </c>
      <c r="BQ134" s="134">
        <v>175</v>
      </c>
      <c r="BR134" s="135">
        <v>7.7105880230880275E-2</v>
      </c>
      <c r="BS134" s="136">
        <v>15</v>
      </c>
      <c r="BT134" s="136">
        <v>14</v>
      </c>
      <c r="BU134" s="136">
        <v>14</v>
      </c>
      <c r="BV134" s="136">
        <v>15</v>
      </c>
      <c r="BW134" s="137">
        <v>0</v>
      </c>
      <c r="BX134" s="137">
        <v>0</v>
      </c>
      <c r="BY134" s="138">
        <v>0</v>
      </c>
    </row>
    <row r="135" spans="1:77">
      <c r="A135" s="130" t="s">
        <v>640</v>
      </c>
      <c r="B135" s="131" t="s">
        <v>641</v>
      </c>
      <c r="C135" s="132" t="s">
        <v>642</v>
      </c>
      <c r="D135" s="132" t="s">
        <v>143</v>
      </c>
      <c r="E135" s="133">
        <v>217.76666666666668</v>
      </c>
      <c r="F135" s="133">
        <v>5</v>
      </c>
      <c r="G135" s="134">
        <v>144</v>
      </c>
      <c r="H135" s="134">
        <v>738</v>
      </c>
      <c r="I135" s="134">
        <v>259</v>
      </c>
      <c r="J135" s="134">
        <v>486</v>
      </c>
      <c r="K135" s="134">
        <v>1627</v>
      </c>
      <c r="L135" s="134">
        <v>1483</v>
      </c>
      <c r="M135" s="134">
        <v>1141</v>
      </c>
      <c r="N135" s="134">
        <v>3</v>
      </c>
      <c r="O135" s="132">
        <v>142.6</v>
      </c>
      <c r="P135" s="132">
        <v>142.84444444444443</v>
      </c>
      <c r="Q135" s="132">
        <v>119.19444444444444</v>
      </c>
      <c r="R135" s="132">
        <v>133.16666666666666</v>
      </c>
      <c r="S135" s="132">
        <v>92.644444444444446</v>
      </c>
      <c r="T135" s="132">
        <v>124.71111111111111</v>
      </c>
      <c r="U135" s="132">
        <v>115.13333333333334</v>
      </c>
      <c r="V135" s="132">
        <v>112.88888888888889</v>
      </c>
      <c r="W135" s="132">
        <v>146.30000000000001</v>
      </c>
      <c r="X135" s="132">
        <v>140.52777777777777</v>
      </c>
      <c r="Y135" s="132">
        <v>115.24444444444444</v>
      </c>
      <c r="Z135" s="132">
        <v>120.72222222222223</v>
      </c>
      <c r="AA135" s="132">
        <v>89.938888888888883</v>
      </c>
      <c r="AB135" s="132">
        <v>727.69444444444446</v>
      </c>
      <c r="AC135" s="132">
        <v>259.18888888888887</v>
      </c>
      <c r="AD135" s="132">
        <v>466.43333333333328</v>
      </c>
      <c r="AE135" s="132">
        <v>1129.4833333333333</v>
      </c>
      <c r="AF135" s="132">
        <v>1453.3166666666668</v>
      </c>
      <c r="AG135" s="132">
        <v>1595.9166666666667</v>
      </c>
      <c r="AH135" s="133">
        <v>212.79444444444445</v>
      </c>
      <c r="AI135" s="133">
        <v>3</v>
      </c>
      <c r="AJ135" s="133">
        <v>215.79444444444445</v>
      </c>
      <c r="AK135" s="134">
        <v>130</v>
      </c>
      <c r="AL135" s="139">
        <v>133</v>
      </c>
      <c r="AM135" s="132">
        <v>133</v>
      </c>
      <c r="AN135" s="132">
        <v>116</v>
      </c>
      <c r="AO135" s="132">
        <v>131</v>
      </c>
      <c r="AP135" s="132">
        <v>99</v>
      </c>
      <c r="AQ135" s="132">
        <v>124</v>
      </c>
      <c r="AR135" s="132">
        <v>128</v>
      </c>
      <c r="AS135" s="132">
        <v>117</v>
      </c>
      <c r="AT135" s="132">
        <v>161</v>
      </c>
      <c r="AU135" s="132">
        <v>127</v>
      </c>
      <c r="AV135" s="132">
        <v>107</v>
      </c>
      <c r="AW135" s="132">
        <v>112</v>
      </c>
      <c r="AX135" s="132">
        <v>736</v>
      </c>
      <c r="AY135" s="132">
        <v>245</v>
      </c>
      <c r="AZ135" s="132">
        <v>507</v>
      </c>
      <c r="BA135" s="132">
        <v>1111</v>
      </c>
      <c r="BB135" s="132">
        <v>1488</v>
      </c>
      <c r="BC135" s="132">
        <v>1618</v>
      </c>
      <c r="BD135" s="132">
        <v>111</v>
      </c>
      <c r="BE135" s="132">
        <v>19</v>
      </c>
      <c r="BF135" s="132">
        <v>1</v>
      </c>
      <c r="BG135" s="132">
        <v>643</v>
      </c>
      <c r="BH135" s="132">
        <v>219</v>
      </c>
      <c r="BI135" s="134">
        <v>4</v>
      </c>
      <c r="BJ135" s="134">
        <v>223</v>
      </c>
      <c r="BK135" s="134">
        <v>136</v>
      </c>
      <c r="BL135" s="134">
        <v>128</v>
      </c>
      <c r="BM135" s="134">
        <v>1472</v>
      </c>
      <c r="BN135" s="134">
        <v>724</v>
      </c>
      <c r="BO135" s="134">
        <v>242</v>
      </c>
      <c r="BP135" s="134">
        <v>506</v>
      </c>
      <c r="BQ135" s="134">
        <v>1600</v>
      </c>
      <c r="BR135" s="135">
        <v>6.776462085835E-2</v>
      </c>
      <c r="BS135" s="136">
        <v>92.37</v>
      </c>
      <c r="BT135" s="136">
        <v>88.37</v>
      </c>
      <c r="BU135" s="136">
        <v>86.37</v>
      </c>
      <c r="BV135" s="136">
        <v>94.37</v>
      </c>
      <c r="BW135" s="137">
        <v>0</v>
      </c>
      <c r="BX135" s="137">
        <v>0</v>
      </c>
      <c r="BY135" s="138">
        <v>0</v>
      </c>
    </row>
    <row r="136" spans="1:77">
      <c r="A136" s="130" t="s">
        <v>643</v>
      </c>
      <c r="B136" s="131" t="s">
        <v>644</v>
      </c>
      <c r="C136" s="132" t="s">
        <v>645</v>
      </c>
      <c r="D136" s="132" t="s">
        <v>143</v>
      </c>
      <c r="E136" s="133">
        <v>76.711111111111109</v>
      </c>
      <c r="F136" s="133">
        <v>4.75</v>
      </c>
      <c r="G136" s="134">
        <v>104</v>
      </c>
      <c r="H136" s="134">
        <v>557</v>
      </c>
      <c r="I136" s="134">
        <v>70</v>
      </c>
      <c r="J136" s="134">
        <v>21</v>
      </c>
      <c r="K136" s="134">
        <v>752</v>
      </c>
      <c r="L136" s="134">
        <v>648</v>
      </c>
      <c r="M136" s="134">
        <v>731</v>
      </c>
      <c r="N136" s="134">
        <v>9</v>
      </c>
      <c r="O136" s="132">
        <v>103</v>
      </c>
      <c r="P136" s="132">
        <v>98.683333333333337</v>
      </c>
      <c r="Q136" s="132">
        <v>96.722222222222229</v>
      </c>
      <c r="R136" s="132">
        <v>91.088888888888889</v>
      </c>
      <c r="S136" s="132">
        <v>95.833333333333329</v>
      </c>
      <c r="T136" s="132">
        <v>78.349999999999994</v>
      </c>
      <c r="U136" s="132">
        <v>79.894444444444446</v>
      </c>
      <c r="V136" s="132">
        <v>36.111111111111114</v>
      </c>
      <c r="W136" s="132">
        <v>29.75</v>
      </c>
      <c r="X136" s="132">
        <v>21.372222222222224</v>
      </c>
      <c r="Y136" s="132">
        <v>0</v>
      </c>
      <c r="Z136" s="132">
        <v>0</v>
      </c>
      <c r="AA136" s="132">
        <v>0</v>
      </c>
      <c r="AB136" s="132">
        <v>540.57222222222231</v>
      </c>
      <c r="AC136" s="132">
        <v>65.861111111111114</v>
      </c>
      <c r="AD136" s="132">
        <v>21.372222222222224</v>
      </c>
      <c r="AE136" s="132">
        <v>709.43333333333339</v>
      </c>
      <c r="AF136" s="132">
        <v>627.80555555555566</v>
      </c>
      <c r="AG136" s="132">
        <v>730.80555555555566</v>
      </c>
      <c r="AH136" s="133">
        <v>90.99444444444444</v>
      </c>
      <c r="AI136" s="133">
        <v>9.0388888888888896</v>
      </c>
      <c r="AJ136" s="133">
        <v>100.03333333333333</v>
      </c>
      <c r="AK136" s="134">
        <v>106</v>
      </c>
      <c r="AL136" s="139">
        <v>96</v>
      </c>
      <c r="AM136" s="132">
        <v>106</v>
      </c>
      <c r="AN136" s="132">
        <v>102</v>
      </c>
      <c r="AO136" s="132">
        <v>96</v>
      </c>
      <c r="AP136" s="132">
        <v>99</v>
      </c>
      <c r="AQ136" s="132">
        <v>78</v>
      </c>
      <c r="AR136" s="132">
        <v>0</v>
      </c>
      <c r="AS136" s="132">
        <v>0</v>
      </c>
      <c r="AT136" s="132">
        <v>0</v>
      </c>
      <c r="AU136" s="132">
        <v>0</v>
      </c>
      <c r="AV136" s="132">
        <v>0</v>
      </c>
      <c r="AW136" s="132">
        <v>0</v>
      </c>
      <c r="AX136" s="132">
        <v>577</v>
      </c>
      <c r="AY136" s="132">
        <v>0</v>
      </c>
      <c r="AZ136" s="132">
        <v>0</v>
      </c>
      <c r="BA136" s="132">
        <v>683</v>
      </c>
      <c r="BB136" s="132">
        <v>577</v>
      </c>
      <c r="BC136" s="132">
        <v>683</v>
      </c>
      <c r="BD136" s="132">
        <v>106</v>
      </c>
      <c r="BE136" s="132">
        <v>0</v>
      </c>
      <c r="BF136" s="132">
        <v>0</v>
      </c>
      <c r="BG136" s="132">
        <v>42</v>
      </c>
      <c r="BH136" s="132">
        <v>67</v>
      </c>
      <c r="BI136" s="134">
        <v>3</v>
      </c>
      <c r="BJ136" s="134">
        <v>70</v>
      </c>
      <c r="BK136" s="134">
        <v>2</v>
      </c>
      <c r="BL136" s="134">
        <v>97</v>
      </c>
      <c r="BM136" s="134">
        <v>583</v>
      </c>
      <c r="BN136" s="134">
        <v>583</v>
      </c>
      <c r="BO136" s="134">
        <v>0</v>
      </c>
      <c r="BP136" s="134">
        <v>0</v>
      </c>
      <c r="BQ136" s="134">
        <v>680</v>
      </c>
      <c r="BR136" s="135">
        <v>5.8480039672700268E-2</v>
      </c>
      <c r="BS136" s="136">
        <v>34.75</v>
      </c>
      <c r="BT136" s="136">
        <v>33.75</v>
      </c>
      <c r="BU136" s="136">
        <v>33</v>
      </c>
      <c r="BV136" s="136">
        <v>36</v>
      </c>
      <c r="BW136" s="137">
        <v>0</v>
      </c>
      <c r="BX136" s="137">
        <v>0</v>
      </c>
      <c r="BY136" s="138">
        <v>0</v>
      </c>
    </row>
    <row r="137" spans="1:77">
      <c r="A137" s="130" t="s">
        <v>646</v>
      </c>
      <c r="B137" s="131" t="s">
        <v>647</v>
      </c>
      <c r="C137" s="132" t="s">
        <v>648</v>
      </c>
      <c r="D137" s="132" t="s">
        <v>143</v>
      </c>
      <c r="E137" s="133">
        <v>54.87222222222222</v>
      </c>
      <c r="F137" s="133">
        <v>2.0055555555555555</v>
      </c>
      <c r="G137" s="134">
        <v>40</v>
      </c>
      <c r="H137" s="134">
        <v>207</v>
      </c>
      <c r="I137" s="134">
        <v>39</v>
      </c>
      <c r="J137" s="134">
        <v>0</v>
      </c>
      <c r="K137" s="134">
        <v>286</v>
      </c>
      <c r="L137" s="134">
        <v>246</v>
      </c>
      <c r="M137" s="134">
        <v>286</v>
      </c>
      <c r="N137" s="134">
        <v>1</v>
      </c>
      <c r="O137" s="132">
        <v>42.205555555555556</v>
      </c>
      <c r="P137" s="132">
        <v>35.055555555555557</v>
      </c>
      <c r="Q137" s="132">
        <v>41.755555555555553</v>
      </c>
      <c r="R137" s="132">
        <v>45.394444444444446</v>
      </c>
      <c r="S137" s="132">
        <v>35.738888888888887</v>
      </c>
      <c r="T137" s="132">
        <v>24.838888888888889</v>
      </c>
      <c r="U137" s="132">
        <v>23.183333333333334</v>
      </c>
      <c r="V137" s="132">
        <v>14.372222222222222</v>
      </c>
      <c r="W137" s="132">
        <v>24</v>
      </c>
      <c r="X137" s="132">
        <v>0</v>
      </c>
      <c r="Y137" s="132">
        <v>0</v>
      </c>
      <c r="Z137" s="132">
        <v>0</v>
      </c>
      <c r="AA137" s="132">
        <v>0</v>
      </c>
      <c r="AB137" s="132">
        <v>205.96666666666664</v>
      </c>
      <c r="AC137" s="132">
        <v>38.37222222222222</v>
      </c>
      <c r="AD137" s="132">
        <v>0</v>
      </c>
      <c r="AE137" s="132">
        <v>286.54444444444442</v>
      </c>
      <c r="AF137" s="132">
        <v>244.33888888888887</v>
      </c>
      <c r="AG137" s="132">
        <v>286.54444444444442</v>
      </c>
      <c r="AH137" s="133">
        <v>45.461111111111109</v>
      </c>
      <c r="AI137" s="133">
        <v>0.45555555555555555</v>
      </c>
      <c r="AJ137" s="133">
        <v>45.916666666666664</v>
      </c>
      <c r="AK137" s="134">
        <v>27</v>
      </c>
      <c r="AL137" s="139">
        <v>40</v>
      </c>
      <c r="AM137" s="132">
        <v>30</v>
      </c>
      <c r="AN137" s="132">
        <v>39</v>
      </c>
      <c r="AO137" s="132">
        <v>44</v>
      </c>
      <c r="AP137" s="132">
        <v>22</v>
      </c>
      <c r="AQ137" s="132">
        <v>27</v>
      </c>
      <c r="AR137" s="132">
        <v>22</v>
      </c>
      <c r="AS137" s="132">
        <v>14</v>
      </c>
      <c r="AT137" s="132">
        <v>0</v>
      </c>
      <c r="AU137" s="132">
        <v>0</v>
      </c>
      <c r="AV137" s="132">
        <v>0</v>
      </c>
      <c r="AW137" s="132">
        <v>0</v>
      </c>
      <c r="AX137" s="132">
        <v>202</v>
      </c>
      <c r="AY137" s="132">
        <v>36</v>
      </c>
      <c r="AZ137" s="132">
        <v>0</v>
      </c>
      <c r="BA137" s="132">
        <v>265</v>
      </c>
      <c r="BB137" s="132">
        <v>238</v>
      </c>
      <c r="BC137" s="132">
        <v>265</v>
      </c>
      <c r="BD137" s="132">
        <v>27</v>
      </c>
      <c r="BE137" s="132">
        <v>0</v>
      </c>
      <c r="BF137" s="132">
        <v>0</v>
      </c>
      <c r="BG137" s="132">
        <v>97</v>
      </c>
      <c r="BH137" s="132">
        <v>42</v>
      </c>
      <c r="BI137" s="134">
        <v>0</v>
      </c>
      <c r="BJ137" s="134">
        <v>42</v>
      </c>
      <c r="BK137" s="134">
        <v>18</v>
      </c>
      <c r="BL137" s="134">
        <v>37</v>
      </c>
      <c r="BM137" s="134">
        <v>228</v>
      </c>
      <c r="BN137" s="134">
        <v>192</v>
      </c>
      <c r="BO137" s="134">
        <v>36</v>
      </c>
      <c r="BP137" s="134">
        <v>0</v>
      </c>
      <c r="BQ137" s="134">
        <v>265</v>
      </c>
      <c r="BR137" s="135">
        <v>0.10243055555555558</v>
      </c>
      <c r="BS137" s="136">
        <v>17.763999999999999</v>
      </c>
      <c r="BT137" s="136">
        <v>17</v>
      </c>
      <c r="BU137" s="136">
        <v>17</v>
      </c>
      <c r="BV137" s="136">
        <v>17.763999999999999</v>
      </c>
      <c r="BW137" s="137">
        <v>0</v>
      </c>
      <c r="BX137" s="137">
        <v>0</v>
      </c>
      <c r="BY137" s="138">
        <v>0</v>
      </c>
    </row>
    <row r="138" spans="1:77">
      <c r="A138" s="130" t="s">
        <v>649</v>
      </c>
      <c r="B138" s="131" t="s">
        <v>650</v>
      </c>
      <c r="C138" s="132" t="s">
        <v>651</v>
      </c>
      <c r="D138" s="132" t="s">
        <v>143</v>
      </c>
      <c r="E138" s="133">
        <v>85.37222222222222</v>
      </c>
      <c r="F138" s="133">
        <v>5.7777777777777777</v>
      </c>
      <c r="G138" s="134">
        <v>0</v>
      </c>
      <c r="H138" s="134">
        <v>0</v>
      </c>
      <c r="I138" s="134">
        <v>131</v>
      </c>
      <c r="J138" s="134">
        <v>333</v>
      </c>
      <c r="K138" s="134">
        <v>464</v>
      </c>
      <c r="L138" s="134">
        <v>464</v>
      </c>
      <c r="M138" s="134">
        <v>131</v>
      </c>
      <c r="N138" s="134">
        <v>11</v>
      </c>
      <c r="O138" s="132">
        <v>0</v>
      </c>
      <c r="P138" s="132">
        <v>0</v>
      </c>
      <c r="Q138" s="132">
        <v>0</v>
      </c>
      <c r="R138" s="132">
        <v>0</v>
      </c>
      <c r="S138" s="132">
        <v>0</v>
      </c>
      <c r="T138" s="132">
        <v>0</v>
      </c>
      <c r="U138" s="132">
        <v>0</v>
      </c>
      <c r="V138" s="132">
        <v>64.188888888888883</v>
      </c>
      <c r="W138" s="132">
        <v>59.833333333333336</v>
      </c>
      <c r="X138" s="132">
        <v>92.15</v>
      </c>
      <c r="Y138" s="132">
        <v>94.261111111111106</v>
      </c>
      <c r="Z138" s="132">
        <v>78.927777777777777</v>
      </c>
      <c r="AA138" s="132">
        <v>47.461111111111109</v>
      </c>
      <c r="AB138" s="132">
        <v>0</v>
      </c>
      <c r="AC138" s="132">
        <v>124.02222222222221</v>
      </c>
      <c r="AD138" s="132">
        <v>312.79999999999995</v>
      </c>
      <c r="AE138" s="132">
        <v>124.02222222222221</v>
      </c>
      <c r="AF138" s="132">
        <v>436.82222222222219</v>
      </c>
      <c r="AG138" s="132">
        <v>436.82222222222219</v>
      </c>
      <c r="AH138" s="133">
        <v>98.3</v>
      </c>
      <c r="AI138" s="133">
        <v>9.4166666666666661</v>
      </c>
      <c r="AJ138" s="133">
        <v>107.71666666666667</v>
      </c>
      <c r="AK138" s="134">
        <v>0</v>
      </c>
      <c r="AL138" s="139">
        <v>0</v>
      </c>
      <c r="AM138" s="132">
        <v>0</v>
      </c>
      <c r="AN138" s="132">
        <v>0</v>
      </c>
      <c r="AO138" s="132">
        <v>0</v>
      </c>
      <c r="AP138" s="132">
        <v>0</v>
      </c>
      <c r="AQ138" s="132">
        <v>0</v>
      </c>
      <c r="AR138" s="132">
        <v>70</v>
      </c>
      <c r="AS138" s="132">
        <v>76</v>
      </c>
      <c r="AT138" s="132">
        <v>90</v>
      </c>
      <c r="AU138" s="132">
        <v>88</v>
      </c>
      <c r="AV138" s="132">
        <v>96</v>
      </c>
      <c r="AW138" s="132">
        <v>75</v>
      </c>
      <c r="AX138" s="132">
        <v>0</v>
      </c>
      <c r="AY138" s="132">
        <v>146</v>
      </c>
      <c r="AZ138" s="132">
        <v>349</v>
      </c>
      <c r="BA138" s="132">
        <v>146</v>
      </c>
      <c r="BB138" s="132">
        <v>495</v>
      </c>
      <c r="BC138" s="132">
        <v>495</v>
      </c>
      <c r="BD138" s="132">
        <v>0</v>
      </c>
      <c r="BE138" s="132">
        <v>0</v>
      </c>
      <c r="BF138" s="132">
        <v>3</v>
      </c>
      <c r="BG138" s="132">
        <v>197</v>
      </c>
      <c r="BH138" s="132">
        <v>92</v>
      </c>
      <c r="BI138" s="134">
        <v>13</v>
      </c>
      <c r="BJ138" s="134">
        <v>105</v>
      </c>
      <c r="BK138" s="134">
        <v>52</v>
      </c>
      <c r="BL138" s="134">
        <v>0</v>
      </c>
      <c r="BM138" s="134">
        <v>480</v>
      </c>
      <c r="BN138" s="134">
        <v>0</v>
      </c>
      <c r="BO138" s="134">
        <v>135</v>
      </c>
      <c r="BP138" s="134">
        <v>345</v>
      </c>
      <c r="BQ138" s="134">
        <v>480</v>
      </c>
      <c r="BR138" s="135">
        <v>6.4912371134020652E-2</v>
      </c>
      <c r="BS138" s="136">
        <v>32.271000000000001</v>
      </c>
      <c r="BT138" s="136">
        <v>31.271000000000001</v>
      </c>
      <c r="BU138" s="136">
        <v>31.271000000000001</v>
      </c>
      <c r="BV138" s="136">
        <v>33.271000000000001</v>
      </c>
      <c r="BW138" s="137">
        <v>0</v>
      </c>
      <c r="BX138" s="137">
        <v>0</v>
      </c>
      <c r="BY138" s="138">
        <v>0</v>
      </c>
    </row>
    <row r="139" spans="1:77">
      <c r="A139" s="130" t="s">
        <v>652</v>
      </c>
      <c r="B139" s="131" t="s">
        <v>653</v>
      </c>
      <c r="C139" s="132" t="s">
        <v>654</v>
      </c>
      <c r="D139" s="132" t="s">
        <v>143</v>
      </c>
      <c r="E139" s="133">
        <v>171.05555555555554</v>
      </c>
      <c r="F139" s="133">
        <v>1.8388888888888888</v>
      </c>
      <c r="G139" s="134">
        <v>160</v>
      </c>
      <c r="H139" s="134">
        <v>923</v>
      </c>
      <c r="I139" s="134">
        <v>186</v>
      </c>
      <c r="J139" s="134">
        <v>77</v>
      </c>
      <c r="K139" s="134">
        <v>1346</v>
      </c>
      <c r="L139" s="134">
        <v>1186</v>
      </c>
      <c r="M139" s="134">
        <v>1269</v>
      </c>
      <c r="N139" s="134">
        <v>3</v>
      </c>
      <c r="O139" s="132">
        <v>156.60555555555555</v>
      </c>
      <c r="P139" s="132">
        <v>189.49444444444444</v>
      </c>
      <c r="Q139" s="132">
        <v>155</v>
      </c>
      <c r="R139" s="132">
        <v>155.44444444444446</v>
      </c>
      <c r="S139" s="132">
        <v>153.86111111111111</v>
      </c>
      <c r="T139" s="132">
        <v>122.16666666666667</v>
      </c>
      <c r="U139" s="132">
        <v>133</v>
      </c>
      <c r="V139" s="132">
        <v>101.29444444444445</v>
      </c>
      <c r="W139" s="132">
        <v>80.461111111111109</v>
      </c>
      <c r="X139" s="132">
        <v>74.083333333333329</v>
      </c>
      <c r="Y139" s="132">
        <v>0</v>
      </c>
      <c r="Z139" s="132">
        <v>0</v>
      </c>
      <c r="AA139" s="132">
        <v>0</v>
      </c>
      <c r="AB139" s="132">
        <v>908.96666666666658</v>
      </c>
      <c r="AC139" s="132">
        <v>181.75555555555556</v>
      </c>
      <c r="AD139" s="132">
        <v>74.083333333333329</v>
      </c>
      <c r="AE139" s="132">
        <v>1247.3277777777776</v>
      </c>
      <c r="AF139" s="132">
        <v>1164.8055555555554</v>
      </c>
      <c r="AG139" s="132">
        <v>1321.4111111111108</v>
      </c>
      <c r="AH139" s="133">
        <v>136.42222222222222</v>
      </c>
      <c r="AI139" s="133">
        <v>5.6333333333333337</v>
      </c>
      <c r="AJ139" s="133">
        <v>142.05555555555554</v>
      </c>
      <c r="AK139" s="134">
        <v>202</v>
      </c>
      <c r="AL139" s="139">
        <v>156</v>
      </c>
      <c r="AM139" s="132">
        <v>179</v>
      </c>
      <c r="AN139" s="132">
        <v>147</v>
      </c>
      <c r="AO139" s="132">
        <v>160</v>
      </c>
      <c r="AP139" s="132">
        <v>153</v>
      </c>
      <c r="AQ139" s="132">
        <v>122</v>
      </c>
      <c r="AR139" s="132">
        <v>104</v>
      </c>
      <c r="AS139" s="132">
        <v>100</v>
      </c>
      <c r="AT139" s="132">
        <v>79</v>
      </c>
      <c r="AU139" s="132">
        <v>0</v>
      </c>
      <c r="AV139" s="132">
        <v>0</v>
      </c>
      <c r="AW139" s="132">
        <v>0</v>
      </c>
      <c r="AX139" s="132">
        <v>917</v>
      </c>
      <c r="AY139" s="132">
        <v>204</v>
      </c>
      <c r="AZ139" s="132">
        <v>79</v>
      </c>
      <c r="BA139" s="132">
        <v>1323</v>
      </c>
      <c r="BB139" s="132">
        <v>1200</v>
      </c>
      <c r="BC139" s="132">
        <v>1402</v>
      </c>
      <c r="BD139" s="132">
        <v>202</v>
      </c>
      <c r="BE139" s="132">
        <v>0</v>
      </c>
      <c r="BF139" s="132">
        <v>0</v>
      </c>
      <c r="BG139" s="132">
        <v>401</v>
      </c>
      <c r="BH139" s="132">
        <v>191</v>
      </c>
      <c r="BI139" s="134">
        <v>10</v>
      </c>
      <c r="BJ139" s="134">
        <v>201</v>
      </c>
      <c r="BK139" s="134">
        <v>128</v>
      </c>
      <c r="BL139" s="134">
        <v>177</v>
      </c>
      <c r="BM139" s="134">
        <v>1223</v>
      </c>
      <c r="BN139" s="134">
        <v>937</v>
      </c>
      <c r="BO139" s="134">
        <v>195</v>
      </c>
      <c r="BP139" s="134">
        <v>91</v>
      </c>
      <c r="BQ139" s="134">
        <v>1400</v>
      </c>
      <c r="BR139" s="135">
        <v>7.1274516026658241E-2</v>
      </c>
      <c r="BS139" s="136">
        <v>87.85</v>
      </c>
      <c r="BT139" s="136">
        <v>84.35</v>
      </c>
      <c r="BU139" s="136">
        <v>84.35</v>
      </c>
      <c r="BV139" s="136">
        <v>87.84999999999998</v>
      </c>
      <c r="BW139" s="137">
        <v>0</v>
      </c>
      <c r="BX139" s="137">
        <v>0</v>
      </c>
      <c r="BY139" s="138">
        <v>0</v>
      </c>
    </row>
    <row r="140" spans="1:77">
      <c r="A140" s="130" t="s">
        <v>655</v>
      </c>
      <c r="B140" s="131" t="s">
        <v>656</v>
      </c>
      <c r="C140" s="132" t="s">
        <v>657</v>
      </c>
      <c r="D140" s="132" t="s">
        <v>143</v>
      </c>
      <c r="E140" s="133">
        <v>58.577777777777776</v>
      </c>
      <c r="F140" s="133">
        <v>4.7388888888888889</v>
      </c>
      <c r="G140" s="134">
        <v>66</v>
      </c>
      <c r="H140" s="134">
        <v>365</v>
      </c>
      <c r="I140" s="134">
        <v>0</v>
      </c>
      <c r="J140" s="134">
        <v>0</v>
      </c>
      <c r="K140" s="134">
        <v>431</v>
      </c>
      <c r="L140" s="134">
        <v>365</v>
      </c>
      <c r="M140" s="134">
        <v>431</v>
      </c>
      <c r="N140" s="134">
        <v>5</v>
      </c>
      <c r="O140" s="132">
        <v>63.338888888888889</v>
      </c>
      <c r="P140" s="132">
        <v>67.044444444444451</v>
      </c>
      <c r="Q140" s="132">
        <v>65.12222222222222</v>
      </c>
      <c r="R140" s="132">
        <v>66.88333333333334</v>
      </c>
      <c r="S140" s="132">
        <v>48.361111111111114</v>
      </c>
      <c r="T140" s="132">
        <v>53.944444444444443</v>
      </c>
      <c r="U140" s="132">
        <v>50.794444444444444</v>
      </c>
      <c r="V140" s="132">
        <v>0</v>
      </c>
      <c r="W140" s="132">
        <v>0</v>
      </c>
      <c r="X140" s="132">
        <v>0</v>
      </c>
      <c r="Y140" s="132">
        <v>0</v>
      </c>
      <c r="Z140" s="132">
        <v>0</v>
      </c>
      <c r="AA140" s="132">
        <v>0</v>
      </c>
      <c r="AB140" s="132">
        <v>352.15</v>
      </c>
      <c r="AC140" s="132">
        <v>0</v>
      </c>
      <c r="AD140" s="132">
        <v>0</v>
      </c>
      <c r="AE140" s="132">
        <v>415.48888888888888</v>
      </c>
      <c r="AF140" s="132">
        <v>352.15</v>
      </c>
      <c r="AG140" s="132">
        <v>415.48888888888888</v>
      </c>
      <c r="AH140" s="133">
        <v>66.644444444444446</v>
      </c>
      <c r="AI140" s="133">
        <v>4</v>
      </c>
      <c r="AJ140" s="133">
        <v>70.644444444444446</v>
      </c>
      <c r="AK140" s="134">
        <v>61</v>
      </c>
      <c r="AL140" s="139">
        <v>65</v>
      </c>
      <c r="AM140" s="132">
        <v>72</v>
      </c>
      <c r="AN140" s="132">
        <v>68</v>
      </c>
      <c r="AO140" s="132">
        <v>65</v>
      </c>
      <c r="AP140" s="132">
        <v>50</v>
      </c>
      <c r="AQ140" s="132">
        <v>53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132">
        <v>373</v>
      </c>
      <c r="AY140" s="132">
        <v>0</v>
      </c>
      <c r="AZ140" s="132">
        <v>0</v>
      </c>
      <c r="BA140" s="132">
        <v>434</v>
      </c>
      <c r="BB140" s="132">
        <v>373</v>
      </c>
      <c r="BC140" s="132">
        <v>434</v>
      </c>
      <c r="BD140" s="132">
        <v>0</v>
      </c>
      <c r="BE140" s="132">
        <v>61</v>
      </c>
      <c r="BF140" s="132">
        <v>0</v>
      </c>
      <c r="BG140" s="132">
        <v>150</v>
      </c>
      <c r="BH140" s="132">
        <v>57</v>
      </c>
      <c r="BI140" s="134">
        <v>2</v>
      </c>
      <c r="BJ140" s="134">
        <v>59</v>
      </c>
      <c r="BK140" s="134">
        <v>24</v>
      </c>
      <c r="BL140" s="134">
        <v>65</v>
      </c>
      <c r="BM140" s="134">
        <v>365</v>
      </c>
      <c r="BN140" s="134">
        <v>365</v>
      </c>
      <c r="BO140" s="134">
        <v>0</v>
      </c>
      <c r="BP140" s="134">
        <v>0</v>
      </c>
      <c r="BQ140" s="134">
        <v>430</v>
      </c>
      <c r="BR140" s="135">
        <v>8.3522727272727304E-2</v>
      </c>
      <c r="BS140" s="136">
        <v>25.5</v>
      </c>
      <c r="BT140" s="136">
        <v>23.5</v>
      </c>
      <c r="BU140" s="136">
        <v>22.5</v>
      </c>
      <c r="BV140" s="136">
        <v>25.5</v>
      </c>
      <c r="BW140" s="137">
        <v>0</v>
      </c>
      <c r="BX140" s="137">
        <v>0</v>
      </c>
      <c r="BY140" s="138">
        <v>0</v>
      </c>
    </row>
    <row r="141" spans="1:77">
      <c r="A141" s="130" t="s">
        <v>658</v>
      </c>
      <c r="B141" s="131" t="s">
        <v>659</v>
      </c>
      <c r="C141" s="132" t="s">
        <v>660</v>
      </c>
      <c r="D141" s="132" t="s">
        <v>143</v>
      </c>
      <c r="E141" s="133">
        <v>80.177777777777777</v>
      </c>
      <c r="F141" s="133">
        <v>0</v>
      </c>
      <c r="G141" s="134">
        <v>71</v>
      </c>
      <c r="H141" s="134">
        <v>370</v>
      </c>
      <c r="I141" s="134">
        <v>90</v>
      </c>
      <c r="J141" s="134">
        <v>0</v>
      </c>
      <c r="K141" s="134">
        <v>531</v>
      </c>
      <c r="L141" s="134">
        <v>460</v>
      </c>
      <c r="M141" s="134">
        <v>531</v>
      </c>
      <c r="N141" s="134">
        <v>0</v>
      </c>
      <c r="O141" s="132">
        <v>69.5</v>
      </c>
      <c r="P141" s="132">
        <v>69.222222222222229</v>
      </c>
      <c r="Q141" s="132">
        <v>66.961111111111109</v>
      </c>
      <c r="R141" s="132">
        <v>51.111111111111114</v>
      </c>
      <c r="S141" s="132">
        <v>75.138888888888886</v>
      </c>
      <c r="T141" s="132">
        <v>52.105555555555554</v>
      </c>
      <c r="U141" s="132">
        <v>49.605555555555554</v>
      </c>
      <c r="V141" s="132">
        <v>51.305555555555557</v>
      </c>
      <c r="W141" s="132">
        <v>37.422222222222224</v>
      </c>
      <c r="X141" s="132">
        <v>0</v>
      </c>
      <c r="Y141" s="132">
        <v>0</v>
      </c>
      <c r="Z141" s="132">
        <v>0</v>
      </c>
      <c r="AA141" s="132">
        <v>0</v>
      </c>
      <c r="AB141" s="132">
        <v>364.14444444444445</v>
      </c>
      <c r="AC141" s="132">
        <v>88.727777777777789</v>
      </c>
      <c r="AD141" s="132">
        <v>0</v>
      </c>
      <c r="AE141" s="132">
        <v>522.37222222222226</v>
      </c>
      <c r="AF141" s="132">
        <v>452.87222222222221</v>
      </c>
      <c r="AG141" s="132">
        <v>522.37222222222226</v>
      </c>
      <c r="AH141" s="133">
        <v>68.038888888888891</v>
      </c>
      <c r="AI141" s="133">
        <v>0</v>
      </c>
      <c r="AJ141" s="133">
        <v>68.038888888888891</v>
      </c>
      <c r="AK141" s="134">
        <v>76</v>
      </c>
      <c r="AL141" s="139">
        <v>77</v>
      </c>
      <c r="AM141" s="132">
        <v>69</v>
      </c>
      <c r="AN141" s="132">
        <v>72</v>
      </c>
      <c r="AO141" s="132">
        <v>58</v>
      </c>
      <c r="AP141" s="132">
        <v>76</v>
      </c>
      <c r="AQ141" s="132">
        <v>53</v>
      </c>
      <c r="AR141" s="132">
        <v>53</v>
      </c>
      <c r="AS141" s="132">
        <v>39</v>
      </c>
      <c r="AT141" s="132">
        <v>0</v>
      </c>
      <c r="AU141" s="132">
        <v>0</v>
      </c>
      <c r="AV141" s="132">
        <v>0</v>
      </c>
      <c r="AW141" s="132">
        <v>0</v>
      </c>
      <c r="AX141" s="132">
        <v>405</v>
      </c>
      <c r="AY141" s="132">
        <v>92</v>
      </c>
      <c r="AZ141" s="132">
        <v>0</v>
      </c>
      <c r="BA141" s="132">
        <v>573</v>
      </c>
      <c r="BB141" s="132">
        <v>497</v>
      </c>
      <c r="BC141" s="132">
        <v>573</v>
      </c>
      <c r="BD141" s="132">
        <v>76</v>
      </c>
      <c r="BE141" s="132">
        <v>0</v>
      </c>
      <c r="BF141" s="132">
        <v>0</v>
      </c>
      <c r="BG141" s="132">
        <v>273</v>
      </c>
      <c r="BH141" s="132">
        <v>76</v>
      </c>
      <c r="BI141" s="134">
        <v>0</v>
      </c>
      <c r="BJ141" s="134">
        <v>76</v>
      </c>
      <c r="BK141" s="134">
        <v>35</v>
      </c>
      <c r="BL141" s="134">
        <v>73</v>
      </c>
      <c r="BM141" s="134">
        <v>477</v>
      </c>
      <c r="BN141" s="134">
        <v>385</v>
      </c>
      <c r="BO141" s="134">
        <v>92</v>
      </c>
      <c r="BP141" s="134">
        <v>0</v>
      </c>
      <c r="BQ141" s="134">
        <v>550</v>
      </c>
      <c r="BR141" s="135">
        <v>6.3030605967394682E-2</v>
      </c>
      <c r="BS141" s="136">
        <v>37.290999999999997</v>
      </c>
      <c r="BT141" s="136">
        <v>35.290999999999997</v>
      </c>
      <c r="BU141" s="136">
        <v>34.290999999999997</v>
      </c>
      <c r="BV141" s="136">
        <v>39.408000000000008</v>
      </c>
      <c r="BW141" s="137">
        <v>0</v>
      </c>
      <c r="BX141" s="137">
        <v>0</v>
      </c>
      <c r="BY141" s="138">
        <v>0</v>
      </c>
    </row>
    <row r="142" spans="1:77">
      <c r="A142" s="130" t="s">
        <v>661</v>
      </c>
      <c r="B142" s="131" t="s">
        <v>662</v>
      </c>
      <c r="C142" s="132" t="s">
        <v>663</v>
      </c>
      <c r="D142" s="132" t="s">
        <v>143</v>
      </c>
      <c r="E142" s="133">
        <v>3</v>
      </c>
      <c r="F142" s="133">
        <v>0</v>
      </c>
      <c r="G142" s="134">
        <v>0</v>
      </c>
      <c r="H142" s="134">
        <v>0</v>
      </c>
      <c r="I142" s="134">
        <v>0</v>
      </c>
      <c r="J142" s="134">
        <v>105</v>
      </c>
      <c r="K142" s="134">
        <v>105</v>
      </c>
      <c r="L142" s="134">
        <v>105</v>
      </c>
      <c r="M142" s="134">
        <v>0</v>
      </c>
      <c r="N142" s="134">
        <v>0</v>
      </c>
      <c r="O142" s="132">
        <v>0</v>
      </c>
      <c r="P142" s="132">
        <v>0</v>
      </c>
      <c r="Q142" s="132">
        <v>0</v>
      </c>
      <c r="R142" s="132">
        <v>0</v>
      </c>
      <c r="S142" s="132">
        <v>0</v>
      </c>
      <c r="T142" s="132">
        <v>0</v>
      </c>
      <c r="U142" s="132">
        <v>0</v>
      </c>
      <c r="V142" s="132">
        <v>0</v>
      </c>
      <c r="W142" s="132">
        <v>0</v>
      </c>
      <c r="X142" s="132">
        <v>24</v>
      </c>
      <c r="Y142" s="132">
        <v>26.644444444444446</v>
      </c>
      <c r="Z142" s="132">
        <v>27.338888888888889</v>
      </c>
      <c r="AA142" s="132">
        <v>27.772222222222222</v>
      </c>
      <c r="AB142" s="132">
        <v>0</v>
      </c>
      <c r="AC142" s="132">
        <v>0</v>
      </c>
      <c r="AD142" s="132">
        <v>105.75555555555556</v>
      </c>
      <c r="AE142" s="132">
        <v>0</v>
      </c>
      <c r="AF142" s="132">
        <v>105.75555555555556</v>
      </c>
      <c r="AG142" s="132">
        <v>105.75555555555556</v>
      </c>
      <c r="AH142" s="133">
        <v>2.4555555555555557</v>
      </c>
      <c r="AI142" s="133">
        <v>0</v>
      </c>
      <c r="AJ142" s="133">
        <v>2.4555555555555557</v>
      </c>
      <c r="AK142" s="134">
        <v>0</v>
      </c>
      <c r="AL142" s="139">
        <v>0</v>
      </c>
      <c r="AM142" s="132">
        <v>0</v>
      </c>
      <c r="AN142" s="132">
        <v>0</v>
      </c>
      <c r="AO142" s="132">
        <v>0</v>
      </c>
      <c r="AP142" s="132">
        <v>0</v>
      </c>
      <c r="AQ142" s="132">
        <v>0</v>
      </c>
      <c r="AR142" s="132">
        <v>0</v>
      </c>
      <c r="AS142" s="132">
        <v>0</v>
      </c>
      <c r="AT142" s="132">
        <v>31</v>
      </c>
      <c r="AU142" s="132">
        <v>23</v>
      </c>
      <c r="AV142" s="132">
        <v>30</v>
      </c>
      <c r="AW142" s="132">
        <v>22</v>
      </c>
      <c r="AX142" s="132">
        <v>0</v>
      </c>
      <c r="AY142" s="132">
        <v>0</v>
      </c>
      <c r="AZ142" s="132">
        <v>106</v>
      </c>
      <c r="BA142" s="132">
        <v>0</v>
      </c>
      <c r="BB142" s="132">
        <v>106</v>
      </c>
      <c r="BC142" s="132">
        <v>106</v>
      </c>
      <c r="BD142" s="132">
        <v>0</v>
      </c>
      <c r="BE142" s="132">
        <v>0</v>
      </c>
      <c r="BF142" s="132">
        <v>0</v>
      </c>
      <c r="BG142" s="132">
        <v>0</v>
      </c>
      <c r="BH142" s="132">
        <v>1</v>
      </c>
      <c r="BI142" s="134">
        <v>0</v>
      </c>
      <c r="BJ142" s="134">
        <v>1</v>
      </c>
      <c r="BK142" s="134">
        <v>0</v>
      </c>
      <c r="BL142" s="134">
        <v>0</v>
      </c>
      <c r="BM142" s="134">
        <v>106</v>
      </c>
      <c r="BN142" s="134">
        <v>0</v>
      </c>
      <c r="BO142" s="134">
        <v>0</v>
      </c>
      <c r="BP142" s="134">
        <v>106</v>
      </c>
      <c r="BQ142" s="134">
        <v>106</v>
      </c>
      <c r="BR142" s="135">
        <v>8.2758620689655171E-2</v>
      </c>
      <c r="BS142" s="136">
        <v>9.3030000000000008</v>
      </c>
      <c r="BT142" s="136">
        <v>8.3529999999999998</v>
      </c>
      <c r="BU142" s="136">
        <v>8.3529999999999998</v>
      </c>
      <c r="BV142" s="136">
        <v>9.802999999999999</v>
      </c>
      <c r="BW142" s="137">
        <v>0</v>
      </c>
      <c r="BX142" s="137">
        <v>0</v>
      </c>
      <c r="BY142" s="138">
        <v>0</v>
      </c>
    </row>
    <row r="143" spans="1:77">
      <c r="A143" s="130" t="s">
        <v>664</v>
      </c>
      <c r="B143" s="131" t="s">
        <v>665</v>
      </c>
      <c r="C143" s="132" t="s">
        <v>666</v>
      </c>
      <c r="D143" s="132" t="s">
        <v>143</v>
      </c>
      <c r="E143" s="133">
        <v>88.277777777777771</v>
      </c>
      <c r="F143" s="133">
        <v>15.616666666666667</v>
      </c>
      <c r="G143" s="134">
        <v>49</v>
      </c>
      <c r="H143" s="134">
        <v>300</v>
      </c>
      <c r="I143" s="134">
        <v>100</v>
      </c>
      <c r="J143" s="134">
        <v>197</v>
      </c>
      <c r="K143" s="134">
        <v>646</v>
      </c>
      <c r="L143" s="134">
        <v>597</v>
      </c>
      <c r="M143" s="134">
        <v>449</v>
      </c>
      <c r="N143" s="134">
        <v>17</v>
      </c>
      <c r="O143" s="132">
        <v>46.977777777777774</v>
      </c>
      <c r="P143" s="132">
        <v>49.022222222222226</v>
      </c>
      <c r="Q143" s="132">
        <v>49.988888888888887</v>
      </c>
      <c r="R143" s="132">
        <v>49.022222222222226</v>
      </c>
      <c r="S143" s="132">
        <v>49.988888888888887</v>
      </c>
      <c r="T143" s="132">
        <v>49.983333333333334</v>
      </c>
      <c r="U143" s="132">
        <v>50.005555555555553</v>
      </c>
      <c r="V143" s="132">
        <v>48</v>
      </c>
      <c r="W143" s="132">
        <v>47.883333333333333</v>
      </c>
      <c r="X143" s="132">
        <v>47.783333333333331</v>
      </c>
      <c r="Y143" s="132">
        <v>48.555555555555557</v>
      </c>
      <c r="Z143" s="132">
        <v>48.594444444444441</v>
      </c>
      <c r="AA143" s="132">
        <v>39.505555555555553</v>
      </c>
      <c r="AB143" s="132">
        <v>298.01111111111112</v>
      </c>
      <c r="AC143" s="132">
        <v>95.883333333333326</v>
      </c>
      <c r="AD143" s="132">
        <v>184.4388888888889</v>
      </c>
      <c r="AE143" s="132">
        <v>440.87222222222221</v>
      </c>
      <c r="AF143" s="132">
        <v>578.33333333333337</v>
      </c>
      <c r="AG143" s="132">
        <v>625.31111111111113</v>
      </c>
      <c r="AH143" s="133">
        <v>101.01666666666667</v>
      </c>
      <c r="AI143" s="133">
        <v>16.927777777777777</v>
      </c>
      <c r="AJ143" s="133">
        <v>117.94444444444444</v>
      </c>
      <c r="AK143" s="134">
        <v>50</v>
      </c>
      <c r="AL143" s="139">
        <v>50</v>
      </c>
      <c r="AM143" s="132">
        <v>50</v>
      </c>
      <c r="AN143" s="132">
        <v>50</v>
      </c>
      <c r="AO143" s="132">
        <v>50</v>
      </c>
      <c r="AP143" s="132">
        <v>50</v>
      </c>
      <c r="AQ143" s="132">
        <v>50</v>
      </c>
      <c r="AR143" s="132">
        <v>50</v>
      </c>
      <c r="AS143" s="132">
        <v>50</v>
      </c>
      <c r="AT143" s="132">
        <v>43</v>
      </c>
      <c r="AU143" s="132">
        <v>39</v>
      </c>
      <c r="AV143" s="132">
        <v>47</v>
      </c>
      <c r="AW143" s="132">
        <v>43</v>
      </c>
      <c r="AX143" s="132">
        <v>300</v>
      </c>
      <c r="AY143" s="132">
        <v>100</v>
      </c>
      <c r="AZ143" s="132">
        <v>172</v>
      </c>
      <c r="BA143" s="132">
        <v>450</v>
      </c>
      <c r="BB143" s="132">
        <v>572</v>
      </c>
      <c r="BC143" s="132">
        <v>622</v>
      </c>
      <c r="BD143" s="132">
        <v>50</v>
      </c>
      <c r="BE143" s="132">
        <v>0</v>
      </c>
      <c r="BF143" s="132">
        <v>0</v>
      </c>
      <c r="BG143" s="132">
        <v>141</v>
      </c>
      <c r="BH143" s="132">
        <v>108</v>
      </c>
      <c r="BI143" s="134">
        <v>18</v>
      </c>
      <c r="BJ143" s="134">
        <v>126</v>
      </c>
      <c r="BK143" s="134">
        <v>0</v>
      </c>
      <c r="BL143" s="134">
        <v>49</v>
      </c>
      <c r="BM143" s="134">
        <v>571</v>
      </c>
      <c r="BN143" s="134">
        <v>291</v>
      </c>
      <c r="BO143" s="134">
        <v>97</v>
      </c>
      <c r="BP143" s="134">
        <v>183</v>
      </c>
      <c r="BQ143" s="134">
        <v>620</v>
      </c>
      <c r="BR143" s="135">
        <v>7.3020337802613244E-2</v>
      </c>
      <c r="BS143" s="136">
        <v>32.35</v>
      </c>
      <c r="BT143" s="136">
        <v>31.6</v>
      </c>
      <c r="BU143" s="136">
        <v>30.880000000000003</v>
      </c>
      <c r="BV143" s="136">
        <v>33.429999999999993</v>
      </c>
      <c r="BW143" s="137">
        <v>0</v>
      </c>
      <c r="BX143" s="137">
        <v>0</v>
      </c>
      <c r="BY143" s="138">
        <v>0</v>
      </c>
    </row>
    <row r="144" spans="1:77">
      <c r="A144" s="130" t="s">
        <v>667</v>
      </c>
      <c r="B144" s="131" t="s">
        <v>668</v>
      </c>
      <c r="C144" s="132" t="s">
        <v>669</v>
      </c>
      <c r="D144" s="132" t="s">
        <v>143</v>
      </c>
      <c r="E144" s="133">
        <v>76.311111111111117</v>
      </c>
      <c r="F144" s="133">
        <v>0</v>
      </c>
      <c r="G144" s="134">
        <v>0</v>
      </c>
      <c r="H144" s="134">
        <v>28</v>
      </c>
      <c r="I144" s="134">
        <v>115</v>
      </c>
      <c r="J144" s="134">
        <v>265</v>
      </c>
      <c r="K144" s="134">
        <v>408</v>
      </c>
      <c r="L144" s="134">
        <v>408</v>
      </c>
      <c r="M144" s="134">
        <v>143</v>
      </c>
      <c r="N144" s="134">
        <v>2</v>
      </c>
      <c r="O144" s="132">
        <v>0</v>
      </c>
      <c r="P144" s="132">
        <v>0</v>
      </c>
      <c r="Q144" s="132">
        <v>0</v>
      </c>
      <c r="R144" s="132">
        <v>0</v>
      </c>
      <c r="S144" s="132">
        <v>0</v>
      </c>
      <c r="T144" s="132">
        <v>0</v>
      </c>
      <c r="U144" s="132">
        <v>27.9</v>
      </c>
      <c r="V144" s="132">
        <v>59.322222222222223</v>
      </c>
      <c r="W144" s="132">
        <v>55.388888888888886</v>
      </c>
      <c r="X144" s="132">
        <v>74.333333333333329</v>
      </c>
      <c r="Y144" s="132">
        <v>61.677777777777777</v>
      </c>
      <c r="Z144" s="132">
        <v>57.422222222222224</v>
      </c>
      <c r="AA144" s="132">
        <v>62.855555555555554</v>
      </c>
      <c r="AB144" s="132">
        <v>27.9</v>
      </c>
      <c r="AC144" s="132">
        <v>114.71111111111111</v>
      </c>
      <c r="AD144" s="132">
        <v>256.28888888888889</v>
      </c>
      <c r="AE144" s="132">
        <v>142.61111111111111</v>
      </c>
      <c r="AF144" s="132">
        <v>398.90000000000003</v>
      </c>
      <c r="AG144" s="132">
        <v>398.90000000000003</v>
      </c>
      <c r="AH144" s="133">
        <v>85.222222222222229</v>
      </c>
      <c r="AI144" s="133">
        <v>1.5166666666666666</v>
      </c>
      <c r="AJ144" s="133">
        <v>86.738888888888894</v>
      </c>
      <c r="AK144" s="134">
        <v>0</v>
      </c>
      <c r="AL144" s="139">
        <v>0</v>
      </c>
      <c r="AM144" s="132">
        <v>0</v>
      </c>
      <c r="AN144" s="132">
        <v>0</v>
      </c>
      <c r="AO144" s="132">
        <v>0</v>
      </c>
      <c r="AP144" s="132">
        <v>0</v>
      </c>
      <c r="AQ144" s="132">
        <v>24</v>
      </c>
      <c r="AR144" s="132">
        <v>47</v>
      </c>
      <c r="AS144" s="132">
        <v>68</v>
      </c>
      <c r="AT144" s="132">
        <v>57</v>
      </c>
      <c r="AU144" s="132">
        <v>67</v>
      </c>
      <c r="AV144" s="132">
        <v>51</v>
      </c>
      <c r="AW144" s="132">
        <v>52</v>
      </c>
      <c r="AX144" s="132">
        <v>24</v>
      </c>
      <c r="AY144" s="132">
        <v>115</v>
      </c>
      <c r="AZ144" s="132">
        <v>227</v>
      </c>
      <c r="BA144" s="132">
        <v>139</v>
      </c>
      <c r="BB144" s="132">
        <v>366</v>
      </c>
      <c r="BC144" s="132">
        <v>366</v>
      </c>
      <c r="BD144" s="132">
        <v>0</v>
      </c>
      <c r="BE144" s="132">
        <v>0</v>
      </c>
      <c r="BF144" s="132">
        <v>0</v>
      </c>
      <c r="BG144" s="132">
        <v>75</v>
      </c>
      <c r="BH144" s="132">
        <v>73</v>
      </c>
      <c r="BI144" s="134">
        <v>0</v>
      </c>
      <c r="BJ144" s="134">
        <v>73</v>
      </c>
      <c r="BK144" s="134">
        <v>10</v>
      </c>
      <c r="BL144" s="134">
        <v>0</v>
      </c>
      <c r="BM144" s="134">
        <v>376</v>
      </c>
      <c r="BN144" s="134">
        <v>26</v>
      </c>
      <c r="BO144" s="134">
        <v>106</v>
      </c>
      <c r="BP144" s="134">
        <v>244</v>
      </c>
      <c r="BQ144" s="134">
        <v>376</v>
      </c>
      <c r="BR144" s="135">
        <v>5.7545719993852829E-2</v>
      </c>
      <c r="BS144" s="136">
        <v>27.9</v>
      </c>
      <c r="BT144" s="136">
        <v>27.2</v>
      </c>
      <c r="BU144" s="136">
        <v>26.7</v>
      </c>
      <c r="BV144" s="136">
        <v>28.54</v>
      </c>
      <c r="BW144" s="137">
        <v>0</v>
      </c>
      <c r="BX144" s="137">
        <v>0</v>
      </c>
      <c r="BY144" s="138">
        <v>0</v>
      </c>
    </row>
    <row r="145" spans="1:77">
      <c r="A145" s="130" t="s">
        <v>670</v>
      </c>
      <c r="B145" s="131" t="s">
        <v>671</v>
      </c>
      <c r="C145" s="132" t="s">
        <v>672</v>
      </c>
      <c r="D145" s="132" t="s">
        <v>143</v>
      </c>
      <c r="E145" s="133">
        <v>23.738888888888887</v>
      </c>
      <c r="F145" s="133">
        <v>0</v>
      </c>
      <c r="G145" s="134">
        <v>0</v>
      </c>
      <c r="H145" s="134">
        <v>0</v>
      </c>
      <c r="I145" s="134">
        <v>0</v>
      </c>
      <c r="J145" s="134">
        <v>376</v>
      </c>
      <c r="K145" s="134">
        <v>376</v>
      </c>
      <c r="L145" s="134">
        <v>376</v>
      </c>
      <c r="M145" s="134">
        <v>0</v>
      </c>
      <c r="N145" s="134">
        <v>0</v>
      </c>
      <c r="O145" s="132">
        <v>0</v>
      </c>
      <c r="P145" s="132">
        <v>0</v>
      </c>
      <c r="Q145" s="132">
        <v>0</v>
      </c>
      <c r="R145" s="132">
        <v>0</v>
      </c>
      <c r="S145" s="132">
        <v>0</v>
      </c>
      <c r="T145" s="132">
        <v>0</v>
      </c>
      <c r="U145" s="132">
        <v>0</v>
      </c>
      <c r="V145" s="132">
        <v>0</v>
      </c>
      <c r="W145" s="132">
        <v>0</v>
      </c>
      <c r="X145" s="132">
        <v>98.911111111111111</v>
      </c>
      <c r="Y145" s="132">
        <v>107.41666666666667</v>
      </c>
      <c r="Z145" s="132">
        <v>89.733333333333334</v>
      </c>
      <c r="AA145" s="132">
        <v>71.083333333333329</v>
      </c>
      <c r="AB145" s="132">
        <v>0</v>
      </c>
      <c r="AC145" s="132">
        <v>0</v>
      </c>
      <c r="AD145" s="132">
        <v>367.14444444444445</v>
      </c>
      <c r="AE145" s="132">
        <v>0</v>
      </c>
      <c r="AF145" s="132">
        <v>367.14444444444445</v>
      </c>
      <c r="AG145" s="132">
        <v>367.14444444444445</v>
      </c>
      <c r="AH145" s="133">
        <v>25.738888888888887</v>
      </c>
      <c r="AI145" s="133">
        <v>0.12222222222222222</v>
      </c>
      <c r="AJ145" s="133">
        <v>25.861111111111111</v>
      </c>
      <c r="AK145" s="134">
        <v>0</v>
      </c>
      <c r="AL145" s="139">
        <v>0</v>
      </c>
      <c r="AM145" s="132">
        <v>0</v>
      </c>
      <c r="AN145" s="132">
        <v>0</v>
      </c>
      <c r="AO145" s="132">
        <v>0</v>
      </c>
      <c r="AP145" s="132">
        <v>0</v>
      </c>
      <c r="AQ145" s="132">
        <v>0</v>
      </c>
      <c r="AR145" s="132">
        <v>0</v>
      </c>
      <c r="AS145" s="132">
        <v>0</v>
      </c>
      <c r="AT145" s="132">
        <v>114</v>
      </c>
      <c r="AU145" s="132">
        <v>115</v>
      </c>
      <c r="AV145" s="132">
        <v>96</v>
      </c>
      <c r="AW145" s="132">
        <v>85</v>
      </c>
      <c r="AX145" s="132">
        <v>0</v>
      </c>
      <c r="AY145" s="132">
        <v>0</v>
      </c>
      <c r="AZ145" s="132">
        <v>410</v>
      </c>
      <c r="BA145" s="132">
        <v>0</v>
      </c>
      <c r="BB145" s="132">
        <v>410</v>
      </c>
      <c r="BC145" s="132">
        <v>410</v>
      </c>
      <c r="BD145" s="132">
        <v>0</v>
      </c>
      <c r="BE145" s="132">
        <v>0</v>
      </c>
      <c r="BF145" s="132">
        <v>5</v>
      </c>
      <c r="BG145" s="132">
        <v>49</v>
      </c>
      <c r="BH145" s="132">
        <v>25</v>
      </c>
      <c r="BI145" s="134">
        <v>0</v>
      </c>
      <c r="BJ145" s="134">
        <v>25</v>
      </c>
      <c r="BK145" s="134">
        <v>21</v>
      </c>
      <c r="BL145" s="134">
        <v>0</v>
      </c>
      <c r="BM145" s="134">
        <v>400</v>
      </c>
      <c r="BN145" s="134">
        <v>0</v>
      </c>
      <c r="BO145" s="134">
        <v>0</v>
      </c>
      <c r="BP145" s="134">
        <v>400</v>
      </c>
      <c r="BQ145" s="134">
        <v>400</v>
      </c>
      <c r="BR145" s="135">
        <v>7.3670212765957366E-2</v>
      </c>
      <c r="BS145" s="136">
        <v>17.82</v>
      </c>
      <c r="BT145" s="136">
        <v>16.52</v>
      </c>
      <c r="BU145" s="136">
        <v>16.52</v>
      </c>
      <c r="BV145" s="136">
        <v>22.920000000000005</v>
      </c>
      <c r="BW145" s="137">
        <v>0</v>
      </c>
      <c r="BX145" s="137">
        <v>0</v>
      </c>
      <c r="BY145" s="138">
        <v>0</v>
      </c>
    </row>
    <row r="146" spans="1:77">
      <c r="A146" s="130" t="s">
        <v>673</v>
      </c>
      <c r="B146" s="130" t="s">
        <v>674</v>
      </c>
      <c r="C146" s="129" t="s">
        <v>675</v>
      </c>
      <c r="D146" s="129" t="s">
        <v>143</v>
      </c>
      <c r="E146" s="133">
        <v>0</v>
      </c>
      <c r="F146" s="133">
        <v>0</v>
      </c>
      <c r="G146" s="134">
        <v>0</v>
      </c>
      <c r="H146" s="134">
        <v>0</v>
      </c>
      <c r="I146" s="134">
        <v>0</v>
      </c>
      <c r="J146" s="134">
        <v>0</v>
      </c>
      <c r="K146" s="134">
        <v>0</v>
      </c>
      <c r="L146" s="134">
        <v>0</v>
      </c>
      <c r="M146" s="134">
        <v>0</v>
      </c>
      <c r="N146" s="134">
        <v>0</v>
      </c>
      <c r="O146" s="129">
        <v>0</v>
      </c>
      <c r="P146" s="129">
        <v>0</v>
      </c>
      <c r="Q146" s="129">
        <v>0</v>
      </c>
      <c r="R146" s="129">
        <v>0</v>
      </c>
      <c r="S146" s="129">
        <v>0</v>
      </c>
      <c r="T146" s="129">
        <v>0</v>
      </c>
      <c r="U146" s="129">
        <v>0</v>
      </c>
      <c r="V146" s="129">
        <v>0</v>
      </c>
      <c r="W146" s="129">
        <v>0</v>
      </c>
      <c r="X146" s="129">
        <v>0</v>
      </c>
      <c r="Y146" s="129">
        <v>0</v>
      </c>
      <c r="Z146" s="129">
        <v>0</v>
      </c>
      <c r="AA146" s="129">
        <v>0</v>
      </c>
      <c r="AB146" s="129">
        <v>0</v>
      </c>
      <c r="AC146" s="129">
        <v>0</v>
      </c>
      <c r="AD146" s="129">
        <v>0</v>
      </c>
      <c r="AE146" s="129">
        <v>0</v>
      </c>
      <c r="AF146" s="129">
        <v>0</v>
      </c>
      <c r="AG146" s="129">
        <v>0</v>
      </c>
      <c r="AH146" s="133">
        <v>0</v>
      </c>
      <c r="AI146" s="133">
        <v>0</v>
      </c>
      <c r="AJ146" s="133">
        <v>0</v>
      </c>
      <c r="AK146" s="140">
        <v>0</v>
      </c>
      <c r="AL146" s="141">
        <v>0</v>
      </c>
      <c r="AM146" s="129">
        <v>0</v>
      </c>
      <c r="AN146" s="129">
        <v>0</v>
      </c>
      <c r="AO146" s="129">
        <v>0</v>
      </c>
      <c r="AP146" s="129">
        <v>0</v>
      </c>
      <c r="AQ146" s="129">
        <v>0</v>
      </c>
      <c r="AR146" s="129">
        <v>0</v>
      </c>
      <c r="AS146" s="129">
        <v>0</v>
      </c>
      <c r="AT146" s="129">
        <v>0</v>
      </c>
      <c r="AU146" s="129">
        <v>0</v>
      </c>
      <c r="AV146" s="129">
        <v>0</v>
      </c>
      <c r="AW146" s="129">
        <v>0</v>
      </c>
      <c r="AX146" s="129">
        <v>0</v>
      </c>
      <c r="AY146" s="129">
        <v>0</v>
      </c>
      <c r="AZ146" s="129">
        <v>0</v>
      </c>
      <c r="BA146" s="129">
        <v>0</v>
      </c>
      <c r="BB146" s="129">
        <v>0</v>
      </c>
      <c r="BC146" s="129">
        <v>0</v>
      </c>
      <c r="BD146" s="129">
        <v>0</v>
      </c>
      <c r="BE146" s="129">
        <v>0</v>
      </c>
      <c r="BF146" s="129">
        <v>0</v>
      </c>
      <c r="BG146" s="132">
        <v>0</v>
      </c>
      <c r="BH146" s="129">
        <v>0</v>
      </c>
      <c r="BI146" s="134">
        <v>0</v>
      </c>
      <c r="BJ146" s="134">
        <v>0</v>
      </c>
      <c r="BK146" s="134">
        <v>0</v>
      </c>
      <c r="BL146" s="134">
        <v>14</v>
      </c>
      <c r="BM146" s="134">
        <v>173</v>
      </c>
      <c r="BN146" s="134">
        <v>87</v>
      </c>
      <c r="BO146" s="134">
        <v>29</v>
      </c>
      <c r="BP146" s="134">
        <v>57</v>
      </c>
      <c r="BQ146" s="134">
        <v>187</v>
      </c>
      <c r="BR146" s="135">
        <v>0</v>
      </c>
      <c r="BS146" s="136">
        <v>0</v>
      </c>
      <c r="BT146" s="136">
        <v>0</v>
      </c>
      <c r="BU146" s="136">
        <v>0</v>
      </c>
      <c r="BV146" s="136">
        <v>0</v>
      </c>
      <c r="BW146" s="137">
        <v>0</v>
      </c>
      <c r="BX146" s="137">
        <v>0</v>
      </c>
      <c r="BY146" s="138">
        <v>0</v>
      </c>
    </row>
    <row r="147" spans="1:77">
      <c r="A147" s="130" t="s">
        <v>676</v>
      </c>
      <c r="B147" s="131" t="s">
        <v>677</v>
      </c>
      <c r="C147" s="132" t="s">
        <v>678</v>
      </c>
      <c r="D147" s="132" t="s">
        <v>143</v>
      </c>
      <c r="E147" s="133">
        <v>56.033333333333331</v>
      </c>
      <c r="F147" s="133">
        <v>6.9555555555555557</v>
      </c>
      <c r="G147" s="134">
        <v>46</v>
      </c>
      <c r="H147" s="134">
        <v>324</v>
      </c>
      <c r="I147" s="134">
        <v>41</v>
      </c>
      <c r="J147" s="134">
        <v>0</v>
      </c>
      <c r="K147" s="134">
        <v>411</v>
      </c>
      <c r="L147" s="134">
        <v>365</v>
      </c>
      <c r="M147" s="134">
        <v>411</v>
      </c>
      <c r="N147" s="134">
        <v>7</v>
      </c>
      <c r="O147" s="132">
        <v>46</v>
      </c>
      <c r="P147" s="132">
        <v>55.87777777777778</v>
      </c>
      <c r="Q147" s="132">
        <v>67.24444444444444</v>
      </c>
      <c r="R147" s="132">
        <v>67.572222222222223</v>
      </c>
      <c r="S147" s="132">
        <v>44.37777777777778</v>
      </c>
      <c r="T147" s="132">
        <v>47</v>
      </c>
      <c r="U147" s="132">
        <v>31.566666666666666</v>
      </c>
      <c r="V147" s="132">
        <v>24.411111111111111</v>
      </c>
      <c r="W147" s="132">
        <v>15</v>
      </c>
      <c r="X147" s="132">
        <v>0</v>
      </c>
      <c r="Y147" s="132">
        <v>0</v>
      </c>
      <c r="Z147" s="132">
        <v>0</v>
      </c>
      <c r="AA147" s="132">
        <v>0</v>
      </c>
      <c r="AB147" s="132">
        <v>313.63888888888891</v>
      </c>
      <c r="AC147" s="132">
        <v>39.411111111111111</v>
      </c>
      <c r="AD147" s="132">
        <v>0</v>
      </c>
      <c r="AE147" s="132">
        <v>399.04999999999995</v>
      </c>
      <c r="AF147" s="132">
        <v>353.05</v>
      </c>
      <c r="AG147" s="132">
        <v>399.04999999999995</v>
      </c>
      <c r="AH147" s="133">
        <v>54.922222222222224</v>
      </c>
      <c r="AI147" s="133">
        <v>5.3722222222222218</v>
      </c>
      <c r="AJ147" s="133">
        <v>60.294444444444444</v>
      </c>
      <c r="AK147" s="134">
        <v>45</v>
      </c>
      <c r="AL147" s="139">
        <v>51</v>
      </c>
      <c r="AM147" s="132">
        <v>55</v>
      </c>
      <c r="AN147" s="132">
        <v>65</v>
      </c>
      <c r="AO147" s="132">
        <v>64</v>
      </c>
      <c r="AP147" s="132">
        <v>40</v>
      </c>
      <c r="AQ147" s="132">
        <v>40</v>
      </c>
      <c r="AR147" s="132">
        <v>23</v>
      </c>
      <c r="AS147" s="132">
        <v>23</v>
      </c>
      <c r="AT147" s="132">
        <v>0</v>
      </c>
      <c r="AU147" s="132">
        <v>0</v>
      </c>
      <c r="AV147" s="132">
        <v>0</v>
      </c>
      <c r="AW147" s="132">
        <v>0</v>
      </c>
      <c r="AX147" s="132">
        <v>315</v>
      </c>
      <c r="AY147" s="132">
        <v>46</v>
      </c>
      <c r="AZ147" s="132">
        <v>0</v>
      </c>
      <c r="BA147" s="132">
        <v>406</v>
      </c>
      <c r="BB147" s="132">
        <v>361</v>
      </c>
      <c r="BC147" s="132">
        <v>406</v>
      </c>
      <c r="BD147" s="132">
        <v>0</v>
      </c>
      <c r="BE147" s="132">
        <v>45</v>
      </c>
      <c r="BF147" s="132">
        <v>0</v>
      </c>
      <c r="BG147" s="132">
        <v>33</v>
      </c>
      <c r="BH147" s="132">
        <v>54</v>
      </c>
      <c r="BI147" s="134">
        <v>4</v>
      </c>
      <c r="BJ147" s="134">
        <v>58</v>
      </c>
      <c r="BK147" s="134">
        <v>4</v>
      </c>
      <c r="BL147" s="134">
        <v>50</v>
      </c>
      <c r="BM147" s="134">
        <v>351</v>
      </c>
      <c r="BN147" s="134">
        <v>306</v>
      </c>
      <c r="BO147" s="134">
        <v>45</v>
      </c>
      <c r="BP147" s="134">
        <v>0</v>
      </c>
      <c r="BQ147" s="134">
        <v>401</v>
      </c>
      <c r="BR147" s="135">
        <v>7.086291038154402E-2</v>
      </c>
      <c r="BS147" s="136">
        <v>30.916</v>
      </c>
      <c r="BT147" s="136">
        <v>29.916</v>
      </c>
      <c r="BU147" s="136">
        <v>28.491</v>
      </c>
      <c r="BV147" s="136">
        <v>30.541</v>
      </c>
      <c r="BW147" s="137">
        <v>0</v>
      </c>
      <c r="BX147" s="137">
        <v>0</v>
      </c>
      <c r="BY147" s="138">
        <v>0</v>
      </c>
    </row>
    <row r="148" spans="1:77">
      <c r="A148" s="130" t="s">
        <v>679</v>
      </c>
      <c r="B148" s="131" t="s">
        <v>680</v>
      </c>
      <c r="C148" s="132" t="s">
        <v>681</v>
      </c>
      <c r="D148" s="132" t="s">
        <v>143</v>
      </c>
      <c r="E148" s="133">
        <v>64.811111111111117</v>
      </c>
      <c r="F148" s="133">
        <v>2.2055555555555557</v>
      </c>
      <c r="G148" s="134">
        <v>0</v>
      </c>
      <c r="H148" s="134">
        <v>0</v>
      </c>
      <c r="I148" s="134">
        <v>98</v>
      </c>
      <c r="J148" s="134">
        <v>249</v>
      </c>
      <c r="K148" s="134">
        <v>347</v>
      </c>
      <c r="L148" s="134">
        <v>347</v>
      </c>
      <c r="M148" s="134">
        <v>98</v>
      </c>
      <c r="N148" s="134">
        <v>2</v>
      </c>
      <c r="O148" s="132">
        <v>0</v>
      </c>
      <c r="P148" s="132">
        <v>0</v>
      </c>
      <c r="Q148" s="132">
        <v>0</v>
      </c>
      <c r="R148" s="132">
        <v>0</v>
      </c>
      <c r="S148" s="132">
        <v>0</v>
      </c>
      <c r="T148" s="132">
        <v>0</v>
      </c>
      <c r="U148" s="132">
        <v>0</v>
      </c>
      <c r="V148" s="132">
        <v>46.327777777777776</v>
      </c>
      <c r="W148" s="132">
        <v>50.077777777777776</v>
      </c>
      <c r="X148" s="132">
        <v>54.138888888888886</v>
      </c>
      <c r="Y148" s="132">
        <v>64.072222222222223</v>
      </c>
      <c r="Z148" s="132">
        <v>72.861111111111114</v>
      </c>
      <c r="AA148" s="132">
        <v>55.044444444444444</v>
      </c>
      <c r="AB148" s="132">
        <v>0</v>
      </c>
      <c r="AC148" s="132">
        <v>96.405555555555551</v>
      </c>
      <c r="AD148" s="132">
        <v>246.11666666666667</v>
      </c>
      <c r="AE148" s="132">
        <v>96.405555555555551</v>
      </c>
      <c r="AF148" s="132">
        <v>342.52222222222218</v>
      </c>
      <c r="AG148" s="132">
        <v>342.52222222222218</v>
      </c>
      <c r="AH148" s="133">
        <v>59.15</v>
      </c>
      <c r="AI148" s="133">
        <v>2</v>
      </c>
      <c r="AJ148" s="133">
        <v>61.15</v>
      </c>
      <c r="AK148" s="134">
        <v>0</v>
      </c>
      <c r="AL148" s="139">
        <v>0</v>
      </c>
      <c r="AM148" s="132">
        <v>0</v>
      </c>
      <c r="AN148" s="132">
        <v>0</v>
      </c>
      <c r="AO148" s="132">
        <v>0</v>
      </c>
      <c r="AP148" s="132">
        <v>0</v>
      </c>
      <c r="AQ148" s="132">
        <v>0</v>
      </c>
      <c r="AR148" s="132">
        <v>50</v>
      </c>
      <c r="AS148" s="132">
        <v>61</v>
      </c>
      <c r="AT148" s="132">
        <v>77</v>
      </c>
      <c r="AU148" s="132">
        <v>57</v>
      </c>
      <c r="AV148" s="132">
        <v>72</v>
      </c>
      <c r="AW148" s="132">
        <v>65</v>
      </c>
      <c r="AX148" s="132">
        <v>0</v>
      </c>
      <c r="AY148" s="132">
        <v>111</v>
      </c>
      <c r="AZ148" s="132">
        <v>271</v>
      </c>
      <c r="BA148" s="132">
        <v>111</v>
      </c>
      <c r="BB148" s="132">
        <v>382</v>
      </c>
      <c r="BC148" s="132">
        <v>382</v>
      </c>
      <c r="BD148" s="132">
        <v>0</v>
      </c>
      <c r="BE148" s="132">
        <v>0</v>
      </c>
      <c r="BF148" s="132">
        <v>2</v>
      </c>
      <c r="BG148" s="132">
        <v>66</v>
      </c>
      <c r="BH148" s="132">
        <v>77</v>
      </c>
      <c r="BI148" s="134">
        <v>1</v>
      </c>
      <c r="BJ148" s="134">
        <v>78</v>
      </c>
      <c r="BK148" s="134">
        <v>7</v>
      </c>
      <c r="BL148" s="134">
        <v>0</v>
      </c>
      <c r="BM148" s="134">
        <v>380</v>
      </c>
      <c r="BN148" s="134">
        <v>0</v>
      </c>
      <c r="BO148" s="134">
        <v>104</v>
      </c>
      <c r="BP148" s="134">
        <v>276</v>
      </c>
      <c r="BQ148" s="134">
        <v>380</v>
      </c>
      <c r="BR148" s="135">
        <v>7.073401162790699E-2</v>
      </c>
      <c r="BS148" s="136">
        <v>28.04</v>
      </c>
      <c r="BT148" s="136">
        <v>25.16</v>
      </c>
      <c r="BU148" s="136">
        <v>24.16</v>
      </c>
      <c r="BV148" s="136">
        <v>30.039999999999996</v>
      </c>
      <c r="BW148" s="137">
        <v>0</v>
      </c>
      <c r="BX148" s="137">
        <v>0</v>
      </c>
      <c r="BY148" s="138">
        <v>0</v>
      </c>
    </row>
    <row r="149" spans="1:77">
      <c r="A149" s="130" t="s">
        <v>682</v>
      </c>
      <c r="B149" s="131" t="s">
        <v>683</v>
      </c>
      <c r="C149" s="132" t="s">
        <v>684</v>
      </c>
      <c r="D149" s="132" t="s">
        <v>143</v>
      </c>
      <c r="E149" s="133">
        <v>49.45</v>
      </c>
      <c r="F149" s="133">
        <v>2</v>
      </c>
      <c r="G149" s="134">
        <v>66</v>
      </c>
      <c r="H149" s="134">
        <v>453</v>
      </c>
      <c r="I149" s="134">
        <v>0</v>
      </c>
      <c r="J149" s="134">
        <v>0</v>
      </c>
      <c r="K149" s="134">
        <v>519</v>
      </c>
      <c r="L149" s="134">
        <v>453</v>
      </c>
      <c r="M149" s="134">
        <v>519</v>
      </c>
      <c r="N149" s="134">
        <v>1</v>
      </c>
      <c r="O149" s="132">
        <v>68.794444444444451</v>
      </c>
      <c r="P149" s="132">
        <v>76.194444444444443</v>
      </c>
      <c r="Q149" s="132">
        <v>77.988888888888894</v>
      </c>
      <c r="R149" s="132">
        <v>75.849999999999994</v>
      </c>
      <c r="S149" s="132">
        <v>77.433333333333337</v>
      </c>
      <c r="T149" s="132">
        <v>74.922222222222217</v>
      </c>
      <c r="U149" s="132">
        <v>67</v>
      </c>
      <c r="V149" s="132">
        <v>0</v>
      </c>
      <c r="W149" s="132">
        <v>0</v>
      </c>
      <c r="X149" s="132">
        <v>0</v>
      </c>
      <c r="Y149" s="132">
        <v>0</v>
      </c>
      <c r="Z149" s="132">
        <v>0</v>
      </c>
      <c r="AA149" s="132">
        <v>0</v>
      </c>
      <c r="AB149" s="132">
        <v>449.38888888888891</v>
      </c>
      <c r="AC149" s="132">
        <v>0</v>
      </c>
      <c r="AD149" s="132">
        <v>0</v>
      </c>
      <c r="AE149" s="132">
        <v>518.18333333333339</v>
      </c>
      <c r="AF149" s="132">
        <v>449.38888888888891</v>
      </c>
      <c r="AG149" s="132">
        <v>518.18333333333339</v>
      </c>
      <c r="AH149" s="133">
        <v>43.5</v>
      </c>
      <c r="AI149" s="133">
        <v>2.9555555555555557</v>
      </c>
      <c r="AJ149" s="133">
        <v>46.455555555555556</v>
      </c>
      <c r="AK149" s="134">
        <v>81</v>
      </c>
      <c r="AL149" s="139">
        <v>78</v>
      </c>
      <c r="AM149" s="132">
        <v>78</v>
      </c>
      <c r="AN149" s="132">
        <v>78</v>
      </c>
      <c r="AO149" s="132">
        <v>78</v>
      </c>
      <c r="AP149" s="132">
        <v>75</v>
      </c>
      <c r="AQ149" s="132">
        <v>52</v>
      </c>
      <c r="AR149" s="132">
        <v>0</v>
      </c>
      <c r="AS149" s="132">
        <v>0</v>
      </c>
      <c r="AT149" s="132">
        <v>0</v>
      </c>
      <c r="AU149" s="132">
        <v>0</v>
      </c>
      <c r="AV149" s="132">
        <v>0</v>
      </c>
      <c r="AW149" s="132">
        <v>0</v>
      </c>
      <c r="AX149" s="132">
        <v>439</v>
      </c>
      <c r="AY149" s="132">
        <v>0</v>
      </c>
      <c r="AZ149" s="132">
        <v>0</v>
      </c>
      <c r="BA149" s="132">
        <v>520</v>
      </c>
      <c r="BB149" s="132">
        <v>439</v>
      </c>
      <c r="BC149" s="132">
        <v>520</v>
      </c>
      <c r="BD149" s="132">
        <v>40</v>
      </c>
      <c r="BE149" s="132">
        <v>41</v>
      </c>
      <c r="BF149" s="132">
        <v>0</v>
      </c>
      <c r="BG149" s="132">
        <v>52</v>
      </c>
      <c r="BH149" s="132">
        <v>45</v>
      </c>
      <c r="BI149" s="134">
        <v>4</v>
      </c>
      <c r="BJ149" s="134">
        <v>49</v>
      </c>
      <c r="BK149" s="134">
        <v>3</v>
      </c>
      <c r="BL149" s="134">
        <v>66</v>
      </c>
      <c r="BM149" s="134">
        <v>452</v>
      </c>
      <c r="BN149" s="134">
        <v>452</v>
      </c>
      <c r="BO149" s="134">
        <v>0</v>
      </c>
      <c r="BP149" s="134">
        <v>0</v>
      </c>
      <c r="BQ149" s="134">
        <v>518</v>
      </c>
      <c r="BR149" s="135">
        <v>7.0588235294117674E-2</v>
      </c>
      <c r="BS149" s="136">
        <v>25.5</v>
      </c>
      <c r="BT149" s="136">
        <v>25</v>
      </c>
      <c r="BU149" s="136">
        <v>24.5</v>
      </c>
      <c r="BV149" s="136">
        <v>26.021000000000001</v>
      </c>
      <c r="BW149" s="137">
        <v>0</v>
      </c>
      <c r="BX149" s="137">
        <v>0</v>
      </c>
      <c r="BY149" s="138">
        <v>0</v>
      </c>
    </row>
    <row r="150" spans="1:77">
      <c r="A150" s="130" t="s">
        <v>685</v>
      </c>
      <c r="B150" s="131" t="s">
        <v>686</v>
      </c>
      <c r="C150" s="132" t="s">
        <v>687</v>
      </c>
      <c r="D150" s="132" t="s">
        <v>143</v>
      </c>
      <c r="E150" s="133">
        <v>253.35555555555555</v>
      </c>
      <c r="F150" s="133">
        <v>11.672222222222222</v>
      </c>
      <c r="G150" s="134">
        <v>144</v>
      </c>
      <c r="H150" s="134">
        <v>931</v>
      </c>
      <c r="I150" s="134">
        <v>402</v>
      </c>
      <c r="J150" s="134">
        <v>671</v>
      </c>
      <c r="K150" s="134">
        <v>2148</v>
      </c>
      <c r="L150" s="134">
        <v>2004</v>
      </c>
      <c r="M150" s="134">
        <v>1477</v>
      </c>
      <c r="N150" s="134">
        <v>11</v>
      </c>
      <c r="O150" s="132">
        <v>145.31666666666666</v>
      </c>
      <c r="P150" s="132">
        <v>147.56666666666666</v>
      </c>
      <c r="Q150" s="132">
        <v>149.19999999999999</v>
      </c>
      <c r="R150" s="132">
        <v>147.57777777777778</v>
      </c>
      <c r="S150" s="132">
        <v>148.94444444444446</v>
      </c>
      <c r="T150" s="132">
        <v>146.4</v>
      </c>
      <c r="U150" s="132">
        <v>182.29444444444445</v>
      </c>
      <c r="V150" s="132">
        <v>187.04444444444445</v>
      </c>
      <c r="W150" s="132">
        <v>202.38888888888889</v>
      </c>
      <c r="X150" s="132">
        <v>181.08333333333334</v>
      </c>
      <c r="Y150" s="132">
        <v>174.18333333333334</v>
      </c>
      <c r="Z150" s="132">
        <v>169.95</v>
      </c>
      <c r="AA150" s="132">
        <v>129.30555555555554</v>
      </c>
      <c r="AB150" s="132">
        <v>921.98333333333335</v>
      </c>
      <c r="AC150" s="132">
        <v>389.43333333333334</v>
      </c>
      <c r="AD150" s="132">
        <v>654.52222222222224</v>
      </c>
      <c r="AE150" s="132">
        <v>1456.7333333333333</v>
      </c>
      <c r="AF150" s="132">
        <v>1965.9388888888889</v>
      </c>
      <c r="AG150" s="132">
        <v>2111.2555555555555</v>
      </c>
      <c r="AH150" s="133">
        <v>255.86111111111111</v>
      </c>
      <c r="AI150" s="133">
        <v>14.822222222222223</v>
      </c>
      <c r="AJ150" s="133">
        <v>270.68333333333334</v>
      </c>
      <c r="AK150" s="134">
        <v>147</v>
      </c>
      <c r="AL150" s="139">
        <v>143</v>
      </c>
      <c r="AM150" s="132">
        <v>148</v>
      </c>
      <c r="AN150" s="132">
        <v>146</v>
      </c>
      <c r="AO150" s="132">
        <v>138</v>
      </c>
      <c r="AP150" s="132">
        <v>151</v>
      </c>
      <c r="AQ150" s="132">
        <v>169</v>
      </c>
      <c r="AR150" s="132">
        <v>191</v>
      </c>
      <c r="AS150" s="132">
        <v>193</v>
      </c>
      <c r="AT150" s="132">
        <v>206</v>
      </c>
      <c r="AU150" s="132">
        <v>150</v>
      </c>
      <c r="AV150" s="132">
        <v>154</v>
      </c>
      <c r="AW150" s="132">
        <v>163</v>
      </c>
      <c r="AX150" s="132">
        <v>895</v>
      </c>
      <c r="AY150" s="132">
        <v>384</v>
      </c>
      <c r="AZ150" s="132">
        <v>673</v>
      </c>
      <c r="BA150" s="132">
        <v>1426</v>
      </c>
      <c r="BB150" s="132">
        <v>1952</v>
      </c>
      <c r="BC150" s="132">
        <v>2099</v>
      </c>
      <c r="BD150" s="132">
        <v>100</v>
      </c>
      <c r="BE150" s="132">
        <v>47</v>
      </c>
      <c r="BF150" s="132">
        <v>7</v>
      </c>
      <c r="BG150" s="132">
        <v>439</v>
      </c>
      <c r="BH150" s="132">
        <v>243</v>
      </c>
      <c r="BI150" s="134">
        <v>18</v>
      </c>
      <c r="BJ150" s="134">
        <v>261</v>
      </c>
      <c r="BK150" s="134">
        <v>209</v>
      </c>
      <c r="BL150" s="134">
        <v>141</v>
      </c>
      <c r="BM150" s="134">
        <v>1940</v>
      </c>
      <c r="BN150" s="134">
        <v>892</v>
      </c>
      <c r="BO150" s="134">
        <v>378</v>
      </c>
      <c r="BP150" s="134">
        <v>670</v>
      </c>
      <c r="BQ150" s="134">
        <v>2081</v>
      </c>
      <c r="BR150" s="135">
        <v>7.2258465811285477E-2</v>
      </c>
      <c r="BS150" s="136">
        <v>148.97500000000002</v>
      </c>
      <c r="BT150" s="136">
        <v>145.97500000000002</v>
      </c>
      <c r="BU150" s="136">
        <v>136.535</v>
      </c>
      <c r="BV150" s="136">
        <v>147.47500000000002</v>
      </c>
      <c r="BW150" s="137">
        <v>0</v>
      </c>
      <c r="BX150" s="137">
        <v>0</v>
      </c>
      <c r="BY150" s="138">
        <v>0</v>
      </c>
    </row>
    <row r="151" spans="1:77">
      <c r="A151" s="130" t="s">
        <v>688</v>
      </c>
      <c r="B151" s="131" t="s">
        <v>689</v>
      </c>
      <c r="C151" s="132" t="s">
        <v>690</v>
      </c>
      <c r="D151" s="132" t="s">
        <v>143</v>
      </c>
      <c r="E151" s="133">
        <v>174.53888888888889</v>
      </c>
      <c r="F151" s="133">
        <v>1.2444444444444445</v>
      </c>
      <c r="G151" s="134">
        <v>0</v>
      </c>
      <c r="H151" s="134">
        <v>0</v>
      </c>
      <c r="I151" s="134">
        <v>187</v>
      </c>
      <c r="J151" s="134">
        <v>787</v>
      </c>
      <c r="K151" s="134">
        <v>974</v>
      </c>
      <c r="L151" s="134">
        <v>974</v>
      </c>
      <c r="M151" s="134">
        <v>187</v>
      </c>
      <c r="N151" s="134">
        <v>9</v>
      </c>
      <c r="O151" s="132">
        <v>0</v>
      </c>
      <c r="P151" s="132">
        <v>0</v>
      </c>
      <c r="Q151" s="132">
        <v>0</v>
      </c>
      <c r="R151" s="132">
        <v>0</v>
      </c>
      <c r="S151" s="132">
        <v>0</v>
      </c>
      <c r="T151" s="132">
        <v>0</v>
      </c>
      <c r="U151" s="132">
        <v>0</v>
      </c>
      <c r="V151" s="132">
        <v>79.094444444444449</v>
      </c>
      <c r="W151" s="132">
        <v>128.92777777777778</v>
      </c>
      <c r="X151" s="132">
        <v>205.1</v>
      </c>
      <c r="Y151" s="132">
        <v>197.65</v>
      </c>
      <c r="Z151" s="132">
        <v>209.11666666666667</v>
      </c>
      <c r="AA151" s="132">
        <v>161.86111111111111</v>
      </c>
      <c r="AB151" s="132">
        <v>0</v>
      </c>
      <c r="AC151" s="132">
        <v>208.02222222222224</v>
      </c>
      <c r="AD151" s="132">
        <v>773.72777777777776</v>
      </c>
      <c r="AE151" s="132">
        <v>208.02222222222224</v>
      </c>
      <c r="AF151" s="132">
        <v>981.75</v>
      </c>
      <c r="AG151" s="132">
        <v>981.75</v>
      </c>
      <c r="AH151" s="133">
        <v>177.92777777777778</v>
      </c>
      <c r="AI151" s="133">
        <v>7.2277777777777779</v>
      </c>
      <c r="AJ151" s="133">
        <v>185.15555555555557</v>
      </c>
      <c r="AK151" s="134">
        <v>0</v>
      </c>
      <c r="AL151" s="139">
        <v>0</v>
      </c>
      <c r="AM151" s="132">
        <v>0</v>
      </c>
      <c r="AN151" s="132">
        <v>0</v>
      </c>
      <c r="AO151" s="132">
        <v>0</v>
      </c>
      <c r="AP151" s="132">
        <v>0</v>
      </c>
      <c r="AQ151" s="132">
        <v>0</v>
      </c>
      <c r="AR151" s="132">
        <v>59</v>
      </c>
      <c r="AS151" s="132">
        <v>101</v>
      </c>
      <c r="AT151" s="132">
        <v>157</v>
      </c>
      <c r="AU151" s="132">
        <v>191</v>
      </c>
      <c r="AV151" s="132">
        <v>217</v>
      </c>
      <c r="AW151" s="132">
        <v>198</v>
      </c>
      <c r="AX151" s="132">
        <v>0</v>
      </c>
      <c r="AY151" s="132">
        <v>160</v>
      </c>
      <c r="AZ151" s="132">
        <v>763</v>
      </c>
      <c r="BA151" s="132">
        <v>160</v>
      </c>
      <c r="BB151" s="132">
        <v>923</v>
      </c>
      <c r="BC151" s="132">
        <v>923</v>
      </c>
      <c r="BD151" s="132">
        <v>0</v>
      </c>
      <c r="BE151" s="132">
        <v>0</v>
      </c>
      <c r="BF151" s="132">
        <v>0</v>
      </c>
      <c r="BG151" s="132">
        <v>135</v>
      </c>
      <c r="BH151" s="132">
        <v>166</v>
      </c>
      <c r="BI151" s="134">
        <v>9</v>
      </c>
      <c r="BJ151" s="134">
        <v>175</v>
      </c>
      <c r="BK151" s="134">
        <v>29</v>
      </c>
      <c r="BL151" s="134">
        <v>0</v>
      </c>
      <c r="BM151" s="134">
        <v>920</v>
      </c>
      <c r="BN151" s="134">
        <v>0</v>
      </c>
      <c r="BO151" s="134">
        <v>173</v>
      </c>
      <c r="BP151" s="134">
        <v>747</v>
      </c>
      <c r="BQ151" s="134">
        <v>920</v>
      </c>
      <c r="BR151" s="135">
        <v>8.7423750462570671E-2</v>
      </c>
      <c r="BS151" s="136">
        <v>82.582999999999998</v>
      </c>
      <c r="BT151" s="136">
        <v>82.582999999999998</v>
      </c>
      <c r="BU151" s="136">
        <v>76.582999999999998</v>
      </c>
      <c r="BV151" s="136">
        <v>76.582999999999998</v>
      </c>
      <c r="BW151" s="137">
        <v>974</v>
      </c>
      <c r="BX151" s="137">
        <v>464</v>
      </c>
      <c r="BY151" s="138">
        <v>668.2</v>
      </c>
    </row>
    <row r="152" spans="1:77">
      <c r="A152" s="130" t="s">
        <v>691</v>
      </c>
      <c r="B152" s="131" t="s">
        <v>692</v>
      </c>
      <c r="C152" s="132" t="s">
        <v>693</v>
      </c>
      <c r="D152" s="132" t="s">
        <v>143</v>
      </c>
      <c r="E152" s="133">
        <v>40.68333333333333</v>
      </c>
      <c r="F152" s="133">
        <v>2.9444444444444446</v>
      </c>
      <c r="G152" s="134">
        <v>0</v>
      </c>
      <c r="H152" s="134">
        <v>0</v>
      </c>
      <c r="I152" s="134">
        <v>0</v>
      </c>
      <c r="J152" s="134">
        <v>182</v>
      </c>
      <c r="K152" s="134">
        <v>182</v>
      </c>
      <c r="L152" s="134">
        <v>182</v>
      </c>
      <c r="M152" s="134">
        <v>0</v>
      </c>
      <c r="N152" s="134">
        <v>3</v>
      </c>
      <c r="O152" s="132">
        <v>0</v>
      </c>
      <c r="P152" s="132">
        <v>0</v>
      </c>
      <c r="Q152" s="132">
        <v>0</v>
      </c>
      <c r="R152" s="132">
        <v>0</v>
      </c>
      <c r="S152" s="132">
        <v>0</v>
      </c>
      <c r="T152" s="132">
        <v>0</v>
      </c>
      <c r="U152" s="132">
        <v>0</v>
      </c>
      <c r="V152" s="132">
        <v>0</v>
      </c>
      <c r="W152" s="132">
        <v>0</v>
      </c>
      <c r="X152" s="132">
        <v>25.1</v>
      </c>
      <c r="Y152" s="132">
        <v>45.416666666666664</v>
      </c>
      <c r="Z152" s="132">
        <v>63.43888888888889</v>
      </c>
      <c r="AA152" s="132">
        <v>45.155555555555559</v>
      </c>
      <c r="AB152" s="132">
        <v>0</v>
      </c>
      <c r="AC152" s="132">
        <v>0</v>
      </c>
      <c r="AD152" s="132">
        <v>179.11111111111111</v>
      </c>
      <c r="AE152" s="132">
        <v>0</v>
      </c>
      <c r="AF152" s="132">
        <v>179.11111111111111</v>
      </c>
      <c r="AG152" s="132">
        <v>179.11111111111111</v>
      </c>
      <c r="AH152" s="133">
        <v>43.7</v>
      </c>
      <c r="AI152" s="133">
        <v>2.2555555555555555</v>
      </c>
      <c r="AJ152" s="133">
        <v>45.955555555555556</v>
      </c>
      <c r="AK152" s="134">
        <v>0</v>
      </c>
      <c r="AL152" s="139">
        <v>0</v>
      </c>
      <c r="AM152" s="132">
        <v>0</v>
      </c>
      <c r="AN152" s="132">
        <v>0</v>
      </c>
      <c r="AO152" s="132">
        <v>0</v>
      </c>
      <c r="AP152" s="132">
        <v>0</v>
      </c>
      <c r="AQ152" s="132">
        <v>0</v>
      </c>
      <c r="AR152" s="132">
        <v>0</v>
      </c>
      <c r="AS152" s="132">
        <v>0</v>
      </c>
      <c r="AT152" s="132">
        <v>27</v>
      </c>
      <c r="AU152" s="132">
        <v>39</v>
      </c>
      <c r="AV152" s="132">
        <v>57</v>
      </c>
      <c r="AW152" s="132">
        <v>45</v>
      </c>
      <c r="AX152" s="132">
        <v>0</v>
      </c>
      <c r="AY152" s="132">
        <v>0</v>
      </c>
      <c r="AZ152" s="132">
        <v>168</v>
      </c>
      <c r="BA152" s="132">
        <v>0</v>
      </c>
      <c r="BB152" s="132">
        <v>168</v>
      </c>
      <c r="BC152" s="132">
        <v>168</v>
      </c>
      <c r="BD152" s="132">
        <v>0</v>
      </c>
      <c r="BE152" s="132">
        <v>0</v>
      </c>
      <c r="BF152" s="132">
        <v>0</v>
      </c>
      <c r="BG152" s="132">
        <v>15</v>
      </c>
      <c r="BH152" s="132">
        <v>38</v>
      </c>
      <c r="BI152" s="134">
        <v>1</v>
      </c>
      <c r="BJ152" s="134">
        <v>39</v>
      </c>
      <c r="BK152" s="134">
        <v>0</v>
      </c>
      <c r="BL152" s="134">
        <v>0</v>
      </c>
      <c r="BM152" s="134">
        <v>168</v>
      </c>
      <c r="BN152" s="134">
        <v>0</v>
      </c>
      <c r="BO152" s="134">
        <v>0</v>
      </c>
      <c r="BP152" s="134">
        <v>168</v>
      </c>
      <c r="BQ152" s="134">
        <v>168</v>
      </c>
      <c r="BR152" s="135">
        <v>8.3333333333333315E-2</v>
      </c>
      <c r="BS152" s="136">
        <v>15.793000000000001</v>
      </c>
      <c r="BT152" s="136">
        <v>14.293000000000001</v>
      </c>
      <c r="BU152" s="136">
        <v>13.793000000000001</v>
      </c>
      <c r="BV152" s="136">
        <v>15.293000000000001</v>
      </c>
      <c r="BW152" s="137">
        <v>0</v>
      </c>
      <c r="BX152" s="137">
        <v>0</v>
      </c>
      <c r="BY152" s="138">
        <v>0</v>
      </c>
    </row>
    <row r="153" spans="1:77">
      <c r="A153" s="130" t="s">
        <v>694</v>
      </c>
      <c r="B153" s="131" t="s">
        <v>695</v>
      </c>
      <c r="C153" s="132" t="s">
        <v>696</v>
      </c>
      <c r="D153" s="132" t="s">
        <v>143</v>
      </c>
      <c r="E153" s="133">
        <v>52.461111111111109</v>
      </c>
      <c r="F153" s="133">
        <v>1</v>
      </c>
      <c r="G153" s="134">
        <v>14</v>
      </c>
      <c r="H153" s="134">
        <v>137</v>
      </c>
      <c r="I153" s="134">
        <v>76</v>
      </c>
      <c r="J153" s="134">
        <v>155</v>
      </c>
      <c r="K153" s="134">
        <v>382</v>
      </c>
      <c r="L153" s="134">
        <v>368</v>
      </c>
      <c r="M153" s="134">
        <v>227</v>
      </c>
      <c r="N153" s="134">
        <v>1</v>
      </c>
      <c r="O153" s="132">
        <v>13.383333333333333</v>
      </c>
      <c r="P153" s="132">
        <v>14.694444444444445</v>
      </c>
      <c r="Q153" s="132">
        <v>17.722222222222221</v>
      </c>
      <c r="R153" s="132">
        <v>18.783333333333335</v>
      </c>
      <c r="S153" s="132">
        <v>25.905555555555555</v>
      </c>
      <c r="T153" s="132">
        <v>25.527777777777779</v>
      </c>
      <c r="U153" s="132">
        <v>30.588888888888889</v>
      </c>
      <c r="V153" s="132">
        <v>33.56666666666667</v>
      </c>
      <c r="W153" s="132">
        <v>42.727777777777774</v>
      </c>
      <c r="X153" s="132">
        <v>41.661111111111111</v>
      </c>
      <c r="Y153" s="132">
        <v>27.505555555555556</v>
      </c>
      <c r="Z153" s="132">
        <v>38.961111111111109</v>
      </c>
      <c r="AA153" s="132">
        <v>41.43333333333333</v>
      </c>
      <c r="AB153" s="132">
        <v>133.22222222222223</v>
      </c>
      <c r="AC153" s="132">
        <v>76.294444444444451</v>
      </c>
      <c r="AD153" s="132">
        <v>149.5611111111111</v>
      </c>
      <c r="AE153" s="132">
        <v>222.89999999999998</v>
      </c>
      <c r="AF153" s="132">
        <v>359.07777777777773</v>
      </c>
      <c r="AG153" s="132">
        <v>372.46111111111105</v>
      </c>
      <c r="AH153" s="133">
        <v>67.466666666666669</v>
      </c>
      <c r="AI153" s="133">
        <v>1</v>
      </c>
      <c r="AJ153" s="133">
        <v>68.466666666666669</v>
      </c>
      <c r="AK153" s="134">
        <v>19</v>
      </c>
      <c r="AL153" s="139">
        <v>14</v>
      </c>
      <c r="AM153" s="132">
        <v>21</v>
      </c>
      <c r="AN153" s="132">
        <v>26</v>
      </c>
      <c r="AO153" s="132">
        <v>36</v>
      </c>
      <c r="AP153" s="132">
        <v>35</v>
      </c>
      <c r="AQ153" s="132">
        <v>38</v>
      </c>
      <c r="AR153" s="132">
        <v>46</v>
      </c>
      <c r="AS153" s="132">
        <v>55</v>
      </c>
      <c r="AT153" s="132">
        <v>58</v>
      </c>
      <c r="AU153" s="132">
        <v>62</v>
      </c>
      <c r="AV153" s="132">
        <v>34</v>
      </c>
      <c r="AW153" s="132">
        <v>32</v>
      </c>
      <c r="AX153" s="132">
        <v>170</v>
      </c>
      <c r="AY153" s="132">
        <v>101</v>
      </c>
      <c r="AZ153" s="132">
        <v>186</v>
      </c>
      <c r="BA153" s="132">
        <v>290</v>
      </c>
      <c r="BB153" s="132">
        <v>457</v>
      </c>
      <c r="BC153" s="132">
        <v>476</v>
      </c>
      <c r="BD153" s="132">
        <v>19</v>
      </c>
      <c r="BE153" s="132">
        <v>0</v>
      </c>
      <c r="BF153" s="132">
        <v>0</v>
      </c>
      <c r="BG153" s="132">
        <v>36</v>
      </c>
      <c r="BH153" s="132">
        <v>81</v>
      </c>
      <c r="BI153" s="134">
        <v>0</v>
      </c>
      <c r="BJ153" s="134">
        <v>81</v>
      </c>
      <c r="BK153" s="134">
        <v>7</v>
      </c>
      <c r="BL153" s="134">
        <v>22</v>
      </c>
      <c r="BM153" s="134">
        <v>428</v>
      </c>
      <c r="BN153" s="134">
        <v>143</v>
      </c>
      <c r="BO153" s="134">
        <v>63</v>
      </c>
      <c r="BP153" s="134">
        <v>222</v>
      </c>
      <c r="BQ153" s="134">
        <v>450</v>
      </c>
      <c r="BR153" s="135">
        <v>7.9577354260089717E-2</v>
      </c>
      <c r="BS153" s="136">
        <v>36.995999999999995</v>
      </c>
      <c r="BT153" s="136">
        <v>34.995999999999995</v>
      </c>
      <c r="BU153" s="136">
        <v>34.496000000000002</v>
      </c>
      <c r="BV153" s="136">
        <v>36.495999999999995</v>
      </c>
      <c r="BW153" s="137">
        <v>395</v>
      </c>
      <c r="BX153" s="137">
        <v>263</v>
      </c>
      <c r="BY153" s="138">
        <v>330.67777699999999</v>
      </c>
    </row>
    <row r="154" spans="1:77">
      <c r="A154" s="130" t="s">
        <v>697</v>
      </c>
      <c r="B154" s="131" t="s">
        <v>698</v>
      </c>
      <c r="C154" s="132" t="s">
        <v>699</v>
      </c>
      <c r="D154" s="132" t="s">
        <v>143</v>
      </c>
      <c r="E154" s="133">
        <v>58.87222222222222</v>
      </c>
      <c r="F154" s="133">
        <v>0</v>
      </c>
      <c r="G154" s="134">
        <v>0</v>
      </c>
      <c r="H154" s="134">
        <v>0</v>
      </c>
      <c r="I154" s="134">
        <v>41</v>
      </c>
      <c r="J154" s="134">
        <v>181</v>
      </c>
      <c r="K154" s="134">
        <v>222</v>
      </c>
      <c r="L154" s="134">
        <v>222</v>
      </c>
      <c r="M154" s="134">
        <v>41</v>
      </c>
      <c r="N154" s="134">
        <v>0</v>
      </c>
      <c r="O154" s="132">
        <v>0</v>
      </c>
      <c r="P154" s="132">
        <v>0</v>
      </c>
      <c r="Q154" s="132">
        <v>0</v>
      </c>
      <c r="R154" s="132">
        <v>0</v>
      </c>
      <c r="S154" s="132">
        <v>0</v>
      </c>
      <c r="T154" s="132">
        <v>0</v>
      </c>
      <c r="U154" s="132">
        <v>0</v>
      </c>
      <c r="V154" s="132">
        <v>0</v>
      </c>
      <c r="W154" s="132">
        <v>41.672222222222224</v>
      </c>
      <c r="X154" s="132">
        <v>51.56111111111111</v>
      </c>
      <c r="Y154" s="132">
        <v>42.333333333333336</v>
      </c>
      <c r="Z154" s="132">
        <v>38.383333333333333</v>
      </c>
      <c r="AA154" s="132">
        <v>42.18888888888889</v>
      </c>
      <c r="AB154" s="132">
        <v>0</v>
      </c>
      <c r="AC154" s="132">
        <v>41.672222222222224</v>
      </c>
      <c r="AD154" s="132">
        <v>174.46666666666667</v>
      </c>
      <c r="AE154" s="132">
        <v>41.672222222222224</v>
      </c>
      <c r="AF154" s="132">
        <v>216.13888888888889</v>
      </c>
      <c r="AG154" s="132">
        <v>216.13888888888889</v>
      </c>
      <c r="AH154" s="133">
        <v>44.794444444444444</v>
      </c>
      <c r="AI154" s="133">
        <v>0</v>
      </c>
      <c r="AJ154" s="133">
        <v>44.794444444444444</v>
      </c>
      <c r="AK154" s="134">
        <v>0</v>
      </c>
      <c r="AL154" s="139">
        <v>0</v>
      </c>
      <c r="AM154" s="132">
        <v>0</v>
      </c>
      <c r="AN154" s="132">
        <v>0</v>
      </c>
      <c r="AO154" s="132">
        <v>0</v>
      </c>
      <c r="AP154" s="132">
        <v>0</v>
      </c>
      <c r="AQ154" s="132">
        <v>0</v>
      </c>
      <c r="AR154" s="132">
        <v>0</v>
      </c>
      <c r="AS154" s="132">
        <v>36</v>
      </c>
      <c r="AT154" s="132">
        <v>44</v>
      </c>
      <c r="AU154" s="132">
        <v>46</v>
      </c>
      <c r="AV154" s="132">
        <v>39</v>
      </c>
      <c r="AW154" s="132">
        <v>40</v>
      </c>
      <c r="AX154" s="132">
        <v>0</v>
      </c>
      <c r="AY154" s="132">
        <v>36</v>
      </c>
      <c r="AZ154" s="132">
        <v>169</v>
      </c>
      <c r="BA154" s="132">
        <v>36</v>
      </c>
      <c r="BB154" s="132">
        <v>205</v>
      </c>
      <c r="BC154" s="132">
        <v>205</v>
      </c>
      <c r="BD154" s="132">
        <v>0</v>
      </c>
      <c r="BE154" s="132">
        <v>0</v>
      </c>
      <c r="BF154" s="132">
        <v>3</v>
      </c>
      <c r="BG154" s="132">
        <v>23</v>
      </c>
      <c r="BH154" s="132">
        <v>38</v>
      </c>
      <c r="BI154" s="134">
        <v>2</v>
      </c>
      <c r="BJ154" s="134">
        <v>40</v>
      </c>
      <c r="BK154" s="134">
        <v>1</v>
      </c>
      <c r="BL154" s="134">
        <v>0</v>
      </c>
      <c r="BM154" s="134">
        <v>200</v>
      </c>
      <c r="BN154" s="134">
        <v>0</v>
      </c>
      <c r="BO154" s="134">
        <v>34</v>
      </c>
      <c r="BP154" s="134">
        <v>166</v>
      </c>
      <c r="BQ154" s="134">
        <v>200</v>
      </c>
      <c r="BR154" s="135">
        <v>5.8428655365536541E-2</v>
      </c>
      <c r="BS154" s="136">
        <v>17.09</v>
      </c>
      <c r="BT154" s="136">
        <v>16.509999999999998</v>
      </c>
      <c r="BU154" s="136">
        <v>16.509999999999998</v>
      </c>
      <c r="BV154" s="136">
        <v>18.090000000000003</v>
      </c>
      <c r="BW154" s="137">
        <v>0</v>
      </c>
      <c r="BX154" s="137">
        <v>0</v>
      </c>
      <c r="BY154" s="138">
        <v>0</v>
      </c>
    </row>
    <row r="155" spans="1:77">
      <c r="A155" s="130" t="s">
        <v>700</v>
      </c>
      <c r="B155" s="130" t="s">
        <v>701</v>
      </c>
      <c r="C155" s="129" t="s">
        <v>702</v>
      </c>
      <c r="D155" s="129" t="s">
        <v>143</v>
      </c>
      <c r="E155" s="133">
        <v>0</v>
      </c>
      <c r="F155" s="133">
        <v>0</v>
      </c>
      <c r="G155" s="134">
        <v>0</v>
      </c>
      <c r="H155" s="134">
        <v>0</v>
      </c>
      <c r="I155" s="134">
        <v>0</v>
      </c>
      <c r="J155" s="134">
        <v>0</v>
      </c>
      <c r="K155" s="134">
        <v>0</v>
      </c>
      <c r="L155" s="134">
        <v>0</v>
      </c>
      <c r="M155" s="134">
        <v>0</v>
      </c>
      <c r="N155" s="134">
        <v>0</v>
      </c>
      <c r="O155" s="129">
        <v>0</v>
      </c>
      <c r="P155" s="129">
        <v>0</v>
      </c>
      <c r="Q155" s="129">
        <v>0</v>
      </c>
      <c r="R155" s="129">
        <v>0</v>
      </c>
      <c r="S155" s="129">
        <v>0</v>
      </c>
      <c r="T155" s="129">
        <v>0</v>
      </c>
      <c r="U155" s="129">
        <v>0</v>
      </c>
      <c r="V155" s="129">
        <v>0</v>
      </c>
      <c r="W155" s="129">
        <v>0</v>
      </c>
      <c r="X155" s="129">
        <v>0</v>
      </c>
      <c r="Y155" s="129">
        <v>0</v>
      </c>
      <c r="Z155" s="129">
        <v>0</v>
      </c>
      <c r="AA155" s="129">
        <v>0</v>
      </c>
      <c r="AB155" s="129">
        <v>0</v>
      </c>
      <c r="AC155" s="129">
        <v>0</v>
      </c>
      <c r="AD155" s="129">
        <v>0</v>
      </c>
      <c r="AE155" s="129">
        <v>0</v>
      </c>
      <c r="AF155" s="129">
        <v>0</v>
      </c>
      <c r="AG155" s="129">
        <v>0</v>
      </c>
      <c r="AH155" s="133">
        <v>0</v>
      </c>
      <c r="AI155" s="133">
        <v>0</v>
      </c>
      <c r="AJ155" s="133">
        <v>0</v>
      </c>
      <c r="AK155" s="140">
        <v>0</v>
      </c>
      <c r="AL155" s="141">
        <v>0</v>
      </c>
      <c r="AM155" s="129">
        <v>0</v>
      </c>
      <c r="AN155" s="129">
        <v>0</v>
      </c>
      <c r="AO155" s="129">
        <v>0</v>
      </c>
      <c r="AP155" s="129">
        <v>0</v>
      </c>
      <c r="AQ155" s="129">
        <v>0</v>
      </c>
      <c r="AR155" s="129">
        <v>0</v>
      </c>
      <c r="AS155" s="129">
        <v>0</v>
      </c>
      <c r="AT155" s="129">
        <v>0</v>
      </c>
      <c r="AU155" s="129">
        <v>0</v>
      </c>
      <c r="AV155" s="129">
        <v>0</v>
      </c>
      <c r="AW155" s="129">
        <v>0</v>
      </c>
      <c r="AX155" s="129">
        <v>0</v>
      </c>
      <c r="AY155" s="129">
        <v>0</v>
      </c>
      <c r="AZ155" s="129">
        <v>0</v>
      </c>
      <c r="BA155" s="129">
        <v>0</v>
      </c>
      <c r="BB155" s="129">
        <v>0</v>
      </c>
      <c r="BC155" s="129">
        <v>0</v>
      </c>
      <c r="BD155" s="129">
        <v>0</v>
      </c>
      <c r="BE155" s="129">
        <v>0</v>
      </c>
      <c r="BF155" s="129">
        <v>0</v>
      </c>
      <c r="BG155" s="132">
        <v>0</v>
      </c>
      <c r="BH155" s="129">
        <v>0</v>
      </c>
      <c r="BI155" s="134">
        <v>0</v>
      </c>
      <c r="BJ155" s="134">
        <v>0</v>
      </c>
      <c r="BK155" s="134">
        <v>0</v>
      </c>
      <c r="BL155" s="134">
        <v>15</v>
      </c>
      <c r="BM155" s="134">
        <v>135</v>
      </c>
      <c r="BN155" s="134">
        <v>90</v>
      </c>
      <c r="BO155" s="134">
        <v>30</v>
      </c>
      <c r="BP155" s="134">
        <v>15</v>
      </c>
      <c r="BQ155" s="134">
        <v>150</v>
      </c>
      <c r="BR155" s="135">
        <v>0</v>
      </c>
      <c r="BS155" s="136">
        <v>0</v>
      </c>
      <c r="BT155" s="136">
        <v>0</v>
      </c>
      <c r="BU155" s="136">
        <v>0</v>
      </c>
      <c r="BV155" s="136">
        <v>0</v>
      </c>
      <c r="BW155" s="137">
        <v>0</v>
      </c>
      <c r="BX155" s="137">
        <v>0</v>
      </c>
      <c r="BY155" s="138">
        <v>0</v>
      </c>
    </row>
    <row r="156" spans="1:77" ht="25.75">
      <c r="A156" s="130" t="s">
        <v>703</v>
      </c>
      <c r="B156" s="131" t="s">
        <v>704</v>
      </c>
      <c r="C156" s="132" t="s">
        <v>705</v>
      </c>
      <c r="D156" s="132" t="s">
        <v>143</v>
      </c>
      <c r="E156" s="133">
        <v>43.044444444444444</v>
      </c>
      <c r="F156" s="133">
        <v>0</v>
      </c>
      <c r="G156" s="134">
        <v>0</v>
      </c>
      <c r="H156" s="134">
        <v>0</v>
      </c>
      <c r="I156" s="134">
        <v>0</v>
      </c>
      <c r="J156" s="134">
        <v>1120</v>
      </c>
      <c r="K156" s="134">
        <v>1120</v>
      </c>
      <c r="L156" s="134">
        <v>1120</v>
      </c>
      <c r="M156" s="134">
        <v>0</v>
      </c>
      <c r="N156" s="134">
        <v>0</v>
      </c>
      <c r="O156" s="132">
        <v>0</v>
      </c>
      <c r="P156" s="132">
        <v>0</v>
      </c>
      <c r="Q156" s="132">
        <v>0</v>
      </c>
      <c r="R156" s="132">
        <v>0</v>
      </c>
      <c r="S156" s="132">
        <v>0</v>
      </c>
      <c r="T156" s="132">
        <v>0</v>
      </c>
      <c r="U156" s="132">
        <v>0</v>
      </c>
      <c r="V156" s="132">
        <v>0</v>
      </c>
      <c r="W156" s="132">
        <v>0</v>
      </c>
      <c r="X156" s="132">
        <v>0</v>
      </c>
      <c r="Y156" s="132">
        <v>392.41666666666669</v>
      </c>
      <c r="Z156" s="132">
        <v>371.75</v>
      </c>
      <c r="AA156" s="132">
        <v>322.33333333333331</v>
      </c>
      <c r="AB156" s="132">
        <v>0</v>
      </c>
      <c r="AC156" s="132">
        <v>0</v>
      </c>
      <c r="AD156" s="132">
        <v>1086.5</v>
      </c>
      <c r="AE156" s="132">
        <v>0</v>
      </c>
      <c r="AF156" s="132">
        <v>1086.5</v>
      </c>
      <c r="AG156" s="132">
        <v>1086.5</v>
      </c>
      <c r="AH156" s="133">
        <v>43.344444444444441</v>
      </c>
      <c r="AI156" s="133">
        <v>0</v>
      </c>
      <c r="AJ156" s="133">
        <v>43.344444444444441</v>
      </c>
      <c r="AK156" s="134">
        <v>0</v>
      </c>
      <c r="AL156" s="139">
        <v>0</v>
      </c>
      <c r="AM156" s="132">
        <v>0</v>
      </c>
      <c r="AN156" s="132">
        <v>0</v>
      </c>
      <c r="AO156" s="132">
        <v>0</v>
      </c>
      <c r="AP156" s="132">
        <v>0</v>
      </c>
      <c r="AQ156" s="132">
        <v>0</v>
      </c>
      <c r="AR156" s="132">
        <v>0</v>
      </c>
      <c r="AS156" s="132">
        <v>0</v>
      </c>
      <c r="AT156" s="132">
        <v>0</v>
      </c>
      <c r="AU156" s="132">
        <v>455</v>
      </c>
      <c r="AV156" s="132">
        <v>366</v>
      </c>
      <c r="AW156" s="132">
        <v>345</v>
      </c>
      <c r="AX156" s="132">
        <v>0</v>
      </c>
      <c r="AY156" s="132">
        <v>0</v>
      </c>
      <c r="AZ156" s="132">
        <v>1166</v>
      </c>
      <c r="BA156" s="132">
        <v>0</v>
      </c>
      <c r="BB156" s="132">
        <v>1166</v>
      </c>
      <c r="BC156" s="132">
        <v>1166</v>
      </c>
      <c r="BD156" s="132">
        <v>0</v>
      </c>
      <c r="BE156" s="132">
        <v>0</v>
      </c>
      <c r="BF156" s="132">
        <v>0</v>
      </c>
      <c r="BG156" s="132">
        <v>154</v>
      </c>
      <c r="BH156" s="132">
        <v>55</v>
      </c>
      <c r="BI156" s="134">
        <v>0</v>
      </c>
      <c r="BJ156" s="134">
        <v>55</v>
      </c>
      <c r="BK156" s="134">
        <v>15</v>
      </c>
      <c r="BL156" s="134">
        <v>0</v>
      </c>
      <c r="BM156" s="134">
        <v>1153</v>
      </c>
      <c r="BN156" s="134">
        <v>0</v>
      </c>
      <c r="BO156" s="134">
        <v>0</v>
      </c>
      <c r="BP156" s="134">
        <v>1153</v>
      </c>
      <c r="BQ156" s="134">
        <v>1153</v>
      </c>
      <c r="BR156" s="135">
        <v>9.2112364257668111E-2</v>
      </c>
      <c r="BS156" s="136">
        <v>56.338999999999992</v>
      </c>
      <c r="BT156" s="136">
        <v>52.338999999999992</v>
      </c>
      <c r="BU156" s="136">
        <v>51.338999999999992</v>
      </c>
      <c r="BV156" s="136">
        <v>64.326999999999998</v>
      </c>
      <c r="BW156" s="137">
        <v>0</v>
      </c>
      <c r="BX156" s="137">
        <v>0</v>
      </c>
      <c r="BY156" s="138">
        <v>0</v>
      </c>
    </row>
    <row r="157" spans="1:77">
      <c r="A157" s="130" t="s">
        <v>706</v>
      </c>
      <c r="B157" s="131" t="s">
        <v>707</v>
      </c>
      <c r="C157" s="132" t="s">
        <v>708</v>
      </c>
      <c r="D157" s="132" t="s">
        <v>143</v>
      </c>
      <c r="E157" s="133">
        <v>53.5</v>
      </c>
      <c r="F157" s="133">
        <v>4</v>
      </c>
      <c r="G157" s="134">
        <v>52</v>
      </c>
      <c r="H157" s="134">
        <v>316</v>
      </c>
      <c r="I157" s="134">
        <v>0</v>
      </c>
      <c r="J157" s="134">
        <v>0</v>
      </c>
      <c r="K157" s="134">
        <v>368</v>
      </c>
      <c r="L157" s="134">
        <v>316</v>
      </c>
      <c r="M157" s="134">
        <v>368</v>
      </c>
      <c r="N157" s="134">
        <v>3</v>
      </c>
      <c r="O157" s="132">
        <v>51.93333333333333</v>
      </c>
      <c r="P157" s="132">
        <v>52.722222222222221</v>
      </c>
      <c r="Q157" s="132">
        <v>51</v>
      </c>
      <c r="R157" s="132">
        <v>51.81666666666667</v>
      </c>
      <c r="S157" s="132">
        <v>51.75</v>
      </c>
      <c r="T157" s="132">
        <v>51.177777777777777</v>
      </c>
      <c r="U157" s="132">
        <v>51.494444444444447</v>
      </c>
      <c r="V157" s="132">
        <v>0</v>
      </c>
      <c r="W157" s="132">
        <v>0</v>
      </c>
      <c r="X157" s="132">
        <v>0</v>
      </c>
      <c r="Y157" s="132">
        <v>0</v>
      </c>
      <c r="Z157" s="132">
        <v>0</v>
      </c>
      <c r="AA157" s="132">
        <v>0</v>
      </c>
      <c r="AB157" s="132">
        <v>309.96111111111117</v>
      </c>
      <c r="AC157" s="132">
        <v>0</v>
      </c>
      <c r="AD157" s="132">
        <v>0</v>
      </c>
      <c r="AE157" s="132">
        <v>361.89444444444445</v>
      </c>
      <c r="AF157" s="132">
        <v>309.96111111111117</v>
      </c>
      <c r="AG157" s="132">
        <v>361.89444444444445</v>
      </c>
      <c r="AH157" s="133">
        <v>58.044444444444444</v>
      </c>
      <c r="AI157" s="133">
        <v>3.0722222222222224</v>
      </c>
      <c r="AJ157" s="133">
        <v>61.116666666666667</v>
      </c>
      <c r="AK157" s="134">
        <v>52</v>
      </c>
      <c r="AL157" s="139">
        <v>53</v>
      </c>
      <c r="AM157" s="132">
        <v>52</v>
      </c>
      <c r="AN157" s="132">
        <v>52</v>
      </c>
      <c r="AO157" s="132">
        <v>53</v>
      </c>
      <c r="AP157" s="132">
        <v>52</v>
      </c>
      <c r="AQ157" s="132">
        <v>53</v>
      </c>
      <c r="AR157" s="132">
        <v>0</v>
      </c>
      <c r="AS157" s="132">
        <v>0</v>
      </c>
      <c r="AT157" s="132">
        <v>0</v>
      </c>
      <c r="AU157" s="132">
        <v>0</v>
      </c>
      <c r="AV157" s="132">
        <v>0</v>
      </c>
      <c r="AW157" s="132">
        <v>0</v>
      </c>
      <c r="AX157" s="132">
        <v>315</v>
      </c>
      <c r="AY157" s="132">
        <v>0</v>
      </c>
      <c r="AZ157" s="132">
        <v>0</v>
      </c>
      <c r="BA157" s="132">
        <v>367</v>
      </c>
      <c r="BB157" s="132">
        <v>315</v>
      </c>
      <c r="BC157" s="132">
        <v>367</v>
      </c>
      <c r="BD157" s="132">
        <v>0</v>
      </c>
      <c r="BE157" s="132">
        <v>52</v>
      </c>
      <c r="BF157" s="132">
        <v>0</v>
      </c>
      <c r="BG157" s="132">
        <v>62</v>
      </c>
      <c r="BH157" s="132">
        <v>58</v>
      </c>
      <c r="BI157" s="134">
        <v>2</v>
      </c>
      <c r="BJ157" s="134">
        <v>60</v>
      </c>
      <c r="BK157" s="134">
        <v>0</v>
      </c>
      <c r="BL157" s="134">
        <v>52</v>
      </c>
      <c r="BM157" s="134">
        <v>313</v>
      </c>
      <c r="BN157" s="134">
        <v>313</v>
      </c>
      <c r="BO157" s="134">
        <v>0</v>
      </c>
      <c r="BP157" s="134">
        <v>0</v>
      </c>
      <c r="BQ157" s="134">
        <v>365</v>
      </c>
      <c r="BR157" s="135">
        <v>9.4736842105263119E-2</v>
      </c>
      <c r="BS157" s="136">
        <v>18</v>
      </c>
      <c r="BT157" s="136">
        <v>18</v>
      </c>
      <c r="BU157" s="136">
        <v>18</v>
      </c>
      <c r="BV157" s="136">
        <v>18</v>
      </c>
      <c r="BW157" s="137">
        <v>0</v>
      </c>
      <c r="BX157" s="137">
        <v>0</v>
      </c>
      <c r="BY157" s="138">
        <v>0</v>
      </c>
    </row>
    <row r="158" spans="1:77">
      <c r="A158" s="130" t="s">
        <v>709</v>
      </c>
      <c r="B158" s="131" t="s">
        <v>710</v>
      </c>
      <c r="C158" s="132" t="s">
        <v>711</v>
      </c>
      <c r="D158" s="132" t="s">
        <v>143</v>
      </c>
      <c r="E158" s="133">
        <v>193.35</v>
      </c>
      <c r="F158" s="133">
        <v>6.4888888888888889</v>
      </c>
      <c r="G158" s="134">
        <v>88</v>
      </c>
      <c r="H158" s="134">
        <v>585</v>
      </c>
      <c r="I158" s="134">
        <v>188</v>
      </c>
      <c r="J158" s="134">
        <v>338</v>
      </c>
      <c r="K158" s="134">
        <v>1199</v>
      </c>
      <c r="L158" s="134">
        <v>1111</v>
      </c>
      <c r="M158" s="134">
        <v>861</v>
      </c>
      <c r="N158" s="134">
        <v>1</v>
      </c>
      <c r="O158" s="132">
        <v>90.466666666666669</v>
      </c>
      <c r="P158" s="132">
        <v>90.277777777777771</v>
      </c>
      <c r="Q158" s="132">
        <v>107.67222222222222</v>
      </c>
      <c r="R158" s="132">
        <v>102.15</v>
      </c>
      <c r="S158" s="132">
        <v>102.05</v>
      </c>
      <c r="T158" s="132">
        <v>90.855555555555554</v>
      </c>
      <c r="U158" s="132">
        <v>98.438888888888883</v>
      </c>
      <c r="V158" s="132">
        <v>94.35</v>
      </c>
      <c r="W158" s="132">
        <v>90.25555555555556</v>
      </c>
      <c r="X158" s="132">
        <v>101.55</v>
      </c>
      <c r="Y158" s="132">
        <v>82.3</v>
      </c>
      <c r="Z158" s="132">
        <v>77.11666666666666</v>
      </c>
      <c r="AA158" s="132">
        <v>73.55</v>
      </c>
      <c r="AB158" s="132">
        <v>591.44444444444446</v>
      </c>
      <c r="AC158" s="132">
        <v>184.60555555555555</v>
      </c>
      <c r="AD158" s="132">
        <v>334.51666666666665</v>
      </c>
      <c r="AE158" s="132">
        <v>866.51666666666665</v>
      </c>
      <c r="AF158" s="132">
        <v>1110.5666666666666</v>
      </c>
      <c r="AG158" s="132">
        <v>1201.0333333333331</v>
      </c>
      <c r="AH158" s="133">
        <v>169.47222222222223</v>
      </c>
      <c r="AI158" s="133">
        <v>1</v>
      </c>
      <c r="AJ158" s="133">
        <v>170.47222222222223</v>
      </c>
      <c r="AK158" s="134">
        <v>104</v>
      </c>
      <c r="AL158" s="139">
        <v>102</v>
      </c>
      <c r="AM158" s="132">
        <v>98</v>
      </c>
      <c r="AN158" s="132">
        <v>108</v>
      </c>
      <c r="AO158" s="132">
        <v>101</v>
      </c>
      <c r="AP158" s="132">
        <v>112</v>
      </c>
      <c r="AQ158" s="132">
        <v>96</v>
      </c>
      <c r="AR158" s="132">
        <v>125</v>
      </c>
      <c r="AS158" s="132">
        <v>95</v>
      </c>
      <c r="AT158" s="132">
        <v>98</v>
      </c>
      <c r="AU158" s="132">
        <v>91</v>
      </c>
      <c r="AV158" s="132">
        <v>68</v>
      </c>
      <c r="AW158" s="132">
        <v>73</v>
      </c>
      <c r="AX158" s="132">
        <v>617</v>
      </c>
      <c r="AY158" s="132">
        <v>220</v>
      </c>
      <c r="AZ158" s="132">
        <v>330</v>
      </c>
      <c r="BA158" s="132">
        <v>941</v>
      </c>
      <c r="BB158" s="132">
        <v>1167</v>
      </c>
      <c r="BC158" s="132">
        <v>1271</v>
      </c>
      <c r="BD158" s="132">
        <v>104</v>
      </c>
      <c r="BE158" s="132">
        <v>0</v>
      </c>
      <c r="BF158" s="132">
        <v>0</v>
      </c>
      <c r="BG158" s="132">
        <v>397</v>
      </c>
      <c r="BH158" s="132">
        <v>193</v>
      </c>
      <c r="BI158" s="134">
        <v>1</v>
      </c>
      <c r="BJ158" s="134">
        <v>194</v>
      </c>
      <c r="BK158" s="134">
        <v>39</v>
      </c>
      <c r="BL158" s="134">
        <v>105</v>
      </c>
      <c r="BM158" s="134">
        <v>1145</v>
      </c>
      <c r="BN158" s="134">
        <v>599</v>
      </c>
      <c r="BO158" s="134">
        <v>208</v>
      </c>
      <c r="BP158" s="134">
        <v>338</v>
      </c>
      <c r="BQ158" s="134">
        <v>1250</v>
      </c>
      <c r="BR158" s="135">
        <v>6.6807638646668999E-2</v>
      </c>
      <c r="BS158" s="136">
        <v>79.504999999999995</v>
      </c>
      <c r="BT158" s="136">
        <v>76.504999999999995</v>
      </c>
      <c r="BU158" s="136">
        <v>76.004999999999995</v>
      </c>
      <c r="BV158" s="136">
        <v>82.454999999999984</v>
      </c>
      <c r="BW158" s="137">
        <v>0</v>
      </c>
      <c r="BX158" s="137">
        <v>0</v>
      </c>
      <c r="BY158" s="138">
        <v>0</v>
      </c>
    </row>
    <row r="159" spans="1:77">
      <c r="A159" s="130" t="s">
        <v>712</v>
      </c>
      <c r="B159" s="131" t="s">
        <v>713</v>
      </c>
      <c r="C159" s="132" t="s">
        <v>714</v>
      </c>
      <c r="D159" s="132" t="s">
        <v>143</v>
      </c>
      <c r="E159" s="133">
        <v>276.52777777777777</v>
      </c>
      <c r="F159" s="133">
        <v>14.544444444444444</v>
      </c>
      <c r="G159" s="134">
        <v>255</v>
      </c>
      <c r="H159" s="134">
        <v>1386</v>
      </c>
      <c r="I159" s="134">
        <v>377</v>
      </c>
      <c r="J159" s="134">
        <v>0</v>
      </c>
      <c r="K159" s="134">
        <v>2018</v>
      </c>
      <c r="L159" s="134">
        <v>1763</v>
      </c>
      <c r="M159" s="134">
        <v>2018</v>
      </c>
      <c r="N159" s="134">
        <v>11</v>
      </c>
      <c r="O159" s="132">
        <v>251.90555555555557</v>
      </c>
      <c r="P159" s="132">
        <v>222.55555555555554</v>
      </c>
      <c r="Q159" s="132">
        <v>242.37777777777777</v>
      </c>
      <c r="R159" s="132">
        <v>216.7</v>
      </c>
      <c r="S159" s="132">
        <v>236.6888888888889</v>
      </c>
      <c r="T159" s="132">
        <v>240.53333333333333</v>
      </c>
      <c r="U159" s="132">
        <v>202.24444444444444</v>
      </c>
      <c r="V159" s="132">
        <v>196.07777777777778</v>
      </c>
      <c r="W159" s="132">
        <v>181.73888888888888</v>
      </c>
      <c r="X159" s="132">
        <v>0</v>
      </c>
      <c r="Y159" s="132">
        <v>0</v>
      </c>
      <c r="Z159" s="132">
        <v>0</v>
      </c>
      <c r="AA159" s="132">
        <v>0</v>
      </c>
      <c r="AB159" s="132">
        <v>1361.1</v>
      </c>
      <c r="AC159" s="132">
        <v>377.81666666666666</v>
      </c>
      <c r="AD159" s="132">
        <v>0</v>
      </c>
      <c r="AE159" s="132">
        <v>1990.8222222222221</v>
      </c>
      <c r="AF159" s="132">
        <v>1738.9166666666665</v>
      </c>
      <c r="AG159" s="132">
        <v>1990.8222222222221</v>
      </c>
      <c r="AH159" s="133">
        <v>268.23333333333335</v>
      </c>
      <c r="AI159" s="133">
        <v>11.861111111111111</v>
      </c>
      <c r="AJ159" s="133">
        <v>280.09444444444443</v>
      </c>
      <c r="AK159" s="134">
        <v>252</v>
      </c>
      <c r="AL159" s="139">
        <v>251</v>
      </c>
      <c r="AM159" s="132">
        <v>237</v>
      </c>
      <c r="AN159" s="132">
        <v>240</v>
      </c>
      <c r="AO159" s="132">
        <v>211</v>
      </c>
      <c r="AP159" s="132">
        <v>234</v>
      </c>
      <c r="AQ159" s="132">
        <v>212</v>
      </c>
      <c r="AR159" s="132">
        <v>184</v>
      </c>
      <c r="AS159" s="132">
        <v>195</v>
      </c>
      <c r="AT159" s="132">
        <v>147</v>
      </c>
      <c r="AU159" s="132">
        <v>144</v>
      </c>
      <c r="AV159" s="132">
        <v>126</v>
      </c>
      <c r="AW159" s="132">
        <v>131</v>
      </c>
      <c r="AX159" s="132">
        <v>1385</v>
      </c>
      <c r="AY159" s="132">
        <v>379</v>
      </c>
      <c r="AZ159" s="132">
        <v>548</v>
      </c>
      <c r="BA159" s="132">
        <v>2016</v>
      </c>
      <c r="BB159" s="132">
        <v>2312</v>
      </c>
      <c r="BC159" s="132">
        <v>2564</v>
      </c>
      <c r="BD159" s="132">
        <v>151</v>
      </c>
      <c r="BE159" s="132">
        <v>101</v>
      </c>
      <c r="BF159" s="132">
        <v>1</v>
      </c>
      <c r="BG159" s="132">
        <v>451</v>
      </c>
      <c r="BH159" s="132">
        <v>353</v>
      </c>
      <c r="BI159" s="134">
        <v>11</v>
      </c>
      <c r="BJ159" s="134">
        <v>364</v>
      </c>
      <c r="BK159" s="134">
        <v>141</v>
      </c>
      <c r="BL159" s="134">
        <v>252</v>
      </c>
      <c r="BM159" s="134">
        <v>2248</v>
      </c>
      <c r="BN159" s="134">
        <v>1362</v>
      </c>
      <c r="BO159" s="134">
        <v>371</v>
      </c>
      <c r="BP159" s="134">
        <v>515</v>
      </c>
      <c r="BQ159" s="134">
        <v>2500</v>
      </c>
      <c r="BR159" s="135">
        <v>6.9905857740585386E-2</v>
      </c>
      <c r="BS159" s="136">
        <v>173.32</v>
      </c>
      <c r="BT159" s="136">
        <v>165.92</v>
      </c>
      <c r="BU159" s="136">
        <v>159.69499999999999</v>
      </c>
      <c r="BV159" s="136">
        <v>172.57</v>
      </c>
      <c r="BW159" s="137">
        <v>0</v>
      </c>
      <c r="BX159" s="137">
        <v>0</v>
      </c>
      <c r="BY159" s="138">
        <v>0</v>
      </c>
    </row>
    <row r="160" spans="1:77">
      <c r="A160" s="130" t="s">
        <v>715</v>
      </c>
      <c r="B160" s="130" t="s">
        <v>716</v>
      </c>
      <c r="C160" s="129" t="s">
        <v>717</v>
      </c>
      <c r="D160" s="129" t="s">
        <v>143</v>
      </c>
      <c r="E160" s="133">
        <v>4</v>
      </c>
      <c r="F160" s="133">
        <v>0</v>
      </c>
      <c r="G160" s="134">
        <v>0</v>
      </c>
      <c r="H160" s="134">
        <v>0</v>
      </c>
      <c r="I160" s="134">
        <v>0</v>
      </c>
      <c r="J160" s="134">
        <v>329</v>
      </c>
      <c r="K160" s="134">
        <v>329</v>
      </c>
      <c r="L160" s="134">
        <v>329</v>
      </c>
      <c r="M160" s="134">
        <v>0</v>
      </c>
      <c r="N160" s="134">
        <v>0</v>
      </c>
      <c r="O160" s="129">
        <v>0</v>
      </c>
      <c r="P160" s="129">
        <v>0</v>
      </c>
      <c r="Q160" s="129">
        <v>0</v>
      </c>
      <c r="R160" s="129">
        <v>0</v>
      </c>
      <c r="S160" s="129">
        <v>0</v>
      </c>
      <c r="T160" s="129">
        <v>0</v>
      </c>
      <c r="U160" s="129">
        <v>0</v>
      </c>
      <c r="V160" s="129">
        <v>0</v>
      </c>
      <c r="W160" s="129">
        <v>0</v>
      </c>
      <c r="X160" s="129">
        <v>0</v>
      </c>
      <c r="Y160" s="129">
        <v>106.63888888888889</v>
      </c>
      <c r="Z160" s="129">
        <v>121.47222222222223</v>
      </c>
      <c r="AA160" s="129">
        <v>93.427777777777777</v>
      </c>
      <c r="AB160" s="129">
        <v>0</v>
      </c>
      <c r="AC160" s="129">
        <v>0</v>
      </c>
      <c r="AD160" s="129">
        <v>321.53888888888889</v>
      </c>
      <c r="AE160" s="129">
        <v>0</v>
      </c>
      <c r="AF160" s="129">
        <v>321.53888888888889</v>
      </c>
      <c r="AG160" s="129">
        <v>321.53888888888889</v>
      </c>
      <c r="AH160" s="133">
        <v>4.6500000000000004</v>
      </c>
      <c r="AI160" s="133">
        <v>0</v>
      </c>
      <c r="AJ160" s="133">
        <v>4.6500000000000004</v>
      </c>
      <c r="AK160" s="134">
        <v>0</v>
      </c>
      <c r="AL160" s="141">
        <v>0</v>
      </c>
      <c r="AM160" s="129">
        <v>0</v>
      </c>
      <c r="AN160" s="129">
        <v>0</v>
      </c>
      <c r="AO160" s="129">
        <v>0</v>
      </c>
      <c r="AP160" s="129">
        <v>0</v>
      </c>
      <c r="AQ160" s="129">
        <v>0</v>
      </c>
      <c r="AR160" s="129">
        <v>0</v>
      </c>
      <c r="AS160" s="129">
        <v>0</v>
      </c>
      <c r="AT160" s="129">
        <v>89</v>
      </c>
      <c r="AU160" s="129">
        <v>87</v>
      </c>
      <c r="AV160" s="129">
        <v>101</v>
      </c>
      <c r="AW160" s="129">
        <v>108</v>
      </c>
      <c r="AX160" s="129">
        <v>0</v>
      </c>
      <c r="AY160" s="129">
        <v>0</v>
      </c>
      <c r="AZ160" s="129">
        <v>385</v>
      </c>
      <c r="BA160" s="129">
        <v>0</v>
      </c>
      <c r="BB160" s="129">
        <v>385</v>
      </c>
      <c r="BC160" s="129">
        <v>385</v>
      </c>
      <c r="BD160" s="129">
        <v>0</v>
      </c>
      <c r="BE160" s="129">
        <v>0</v>
      </c>
      <c r="BF160" s="129">
        <v>0</v>
      </c>
      <c r="BG160" s="132">
        <v>114</v>
      </c>
      <c r="BH160" s="129">
        <v>9</v>
      </c>
      <c r="BI160" s="134">
        <v>0</v>
      </c>
      <c r="BJ160" s="134">
        <v>9</v>
      </c>
      <c r="BK160" s="134">
        <v>65</v>
      </c>
      <c r="BL160" s="134">
        <v>0</v>
      </c>
      <c r="BM160" s="134">
        <v>350</v>
      </c>
      <c r="BN160" s="134">
        <v>0</v>
      </c>
      <c r="BO160" s="134">
        <v>0</v>
      </c>
      <c r="BP160" s="134">
        <v>350</v>
      </c>
      <c r="BQ160" s="134">
        <v>350</v>
      </c>
      <c r="BR160" s="135">
        <v>0.10929357592093458</v>
      </c>
      <c r="BS160" s="136">
        <v>24.575000000000003</v>
      </c>
      <c r="BT160" s="136">
        <v>21.924999999999997</v>
      </c>
      <c r="BU160" s="136">
        <v>21.924999999999997</v>
      </c>
      <c r="BV160" s="136">
        <v>24.575000000000003</v>
      </c>
      <c r="BW160" s="137">
        <v>0</v>
      </c>
      <c r="BX160" s="137">
        <v>0</v>
      </c>
      <c r="BY160" s="138">
        <v>0</v>
      </c>
    </row>
    <row r="161" spans="1:77">
      <c r="A161" s="130" t="s">
        <v>718</v>
      </c>
      <c r="B161" s="130" t="s">
        <v>719</v>
      </c>
      <c r="C161" s="129" t="s">
        <v>720</v>
      </c>
      <c r="D161" s="129" t="s">
        <v>143</v>
      </c>
      <c r="E161" s="133">
        <v>105.42222222222222</v>
      </c>
      <c r="F161" s="133">
        <v>3.8444444444444446</v>
      </c>
      <c r="G161" s="134">
        <v>100</v>
      </c>
      <c r="H161" s="134">
        <v>619</v>
      </c>
      <c r="I161" s="134">
        <v>171</v>
      </c>
      <c r="J161" s="134">
        <v>66</v>
      </c>
      <c r="K161" s="134">
        <v>956</v>
      </c>
      <c r="L161" s="134">
        <v>856</v>
      </c>
      <c r="M161" s="134">
        <v>890</v>
      </c>
      <c r="N161" s="134">
        <v>3</v>
      </c>
      <c r="O161" s="129">
        <v>101.11666666666666</v>
      </c>
      <c r="P161" s="129">
        <v>101.41666666666667</v>
      </c>
      <c r="Q161" s="129">
        <v>108.96666666666667</v>
      </c>
      <c r="R161" s="129">
        <v>102.94444444444444</v>
      </c>
      <c r="S161" s="129">
        <v>100.12222222222222</v>
      </c>
      <c r="T161" s="129">
        <v>106.16111111111111</v>
      </c>
      <c r="U161" s="129">
        <v>93.861111111111114</v>
      </c>
      <c r="V161" s="129">
        <v>78.111111111111114</v>
      </c>
      <c r="W161" s="129">
        <v>94.261111111111106</v>
      </c>
      <c r="X161" s="129">
        <v>66.522222222222226</v>
      </c>
      <c r="Y161" s="129">
        <v>0</v>
      </c>
      <c r="Z161" s="129">
        <v>0</v>
      </c>
      <c r="AA161" s="129">
        <v>0</v>
      </c>
      <c r="AB161" s="129">
        <v>613.47222222222217</v>
      </c>
      <c r="AC161" s="129">
        <v>172.37222222222221</v>
      </c>
      <c r="AD161" s="129">
        <v>66.522222222222226</v>
      </c>
      <c r="AE161" s="129">
        <v>886.96111111111111</v>
      </c>
      <c r="AF161" s="129">
        <v>852.36666666666656</v>
      </c>
      <c r="AG161" s="129">
        <v>953.48333333333335</v>
      </c>
      <c r="AH161" s="133">
        <v>113.67222222222222</v>
      </c>
      <c r="AI161" s="133">
        <v>2</v>
      </c>
      <c r="AJ161" s="133">
        <v>115.67222222222222</v>
      </c>
      <c r="AK161" s="134">
        <v>94</v>
      </c>
      <c r="AL161" s="141">
        <v>105</v>
      </c>
      <c r="AM161" s="129">
        <v>97</v>
      </c>
      <c r="AN161" s="129">
        <v>110</v>
      </c>
      <c r="AO161" s="129">
        <v>103</v>
      </c>
      <c r="AP161" s="129">
        <v>103</v>
      </c>
      <c r="AQ161" s="129">
        <v>106</v>
      </c>
      <c r="AR161" s="129">
        <v>76</v>
      </c>
      <c r="AS161" s="129">
        <v>85</v>
      </c>
      <c r="AT161" s="129">
        <v>93</v>
      </c>
      <c r="AU161" s="129">
        <v>0</v>
      </c>
      <c r="AV161" s="129">
        <v>0</v>
      </c>
      <c r="AW161" s="129">
        <v>0</v>
      </c>
      <c r="AX161" s="129">
        <v>624</v>
      </c>
      <c r="AY161" s="129">
        <v>161</v>
      </c>
      <c r="AZ161" s="129">
        <v>93</v>
      </c>
      <c r="BA161" s="129">
        <v>879</v>
      </c>
      <c r="BB161" s="129">
        <v>878</v>
      </c>
      <c r="BC161" s="129">
        <v>972</v>
      </c>
      <c r="BD161" s="129">
        <v>0</v>
      </c>
      <c r="BE161" s="129">
        <v>94</v>
      </c>
      <c r="BF161" s="129">
        <v>0</v>
      </c>
      <c r="BG161" s="132">
        <v>247</v>
      </c>
      <c r="BH161" s="129">
        <v>118</v>
      </c>
      <c r="BI161" s="134">
        <v>3</v>
      </c>
      <c r="BJ161" s="134">
        <v>121</v>
      </c>
      <c r="BK161" s="134">
        <v>177</v>
      </c>
      <c r="BL161" s="134">
        <v>100</v>
      </c>
      <c r="BM161" s="134">
        <v>850</v>
      </c>
      <c r="BN161" s="134">
        <v>615</v>
      </c>
      <c r="BO161" s="134">
        <v>170</v>
      </c>
      <c r="BP161" s="134">
        <v>65</v>
      </c>
      <c r="BQ161" s="134">
        <v>950</v>
      </c>
      <c r="BR161" s="135">
        <v>6.0006429183731724E-2</v>
      </c>
      <c r="BS161" s="136">
        <v>60.201000000000001</v>
      </c>
      <c r="BT161" s="136">
        <v>57.201000000000001</v>
      </c>
      <c r="BU161" s="136">
        <v>54.15</v>
      </c>
      <c r="BV161" s="136">
        <v>60.463000000000001</v>
      </c>
      <c r="BW161" s="137">
        <v>0</v>
      </c>
      <c r="BX161" s="137">
        <v>0</v>
      </c>
      <c r="BY161" s="138">
        <v>0</v>
      </c>
    </row>
    <row r="162" spans="1:77">
      <c r="A162" s="130" t="s">
        <v>721</v>
      </c>
      <c r="B162" s="130" t="s">
        <v>722</v>
      </c>
      <c r="C162" s="129" t="s">
        <v>723</v>
      </c>
      <c r="D162" s="129" t="s">
        <v>143</v>
      </c>
      <c r="E162" s="133">
        <v>17.972222222222221</v>
      </c>
      <c r="F162" s="133">
        <v>0</v>
      </c>
      <c r="G162" s="134">
        <v>13</v>
      </c>
      <c r="H162" s="134">
        <v>49</v>
      </c>
      <c r="I162" s="134">
        <v>0</v>
      </c>
      <c r="J162" s="134">
        <v>0</v>
      </c>
      <c r="K162" s="134">
        <v>62</v>
      </c>
      <c r="L162" s="134">
        <v>49</v>
      </c>
      <c r="M162" s="134">
        <v>62</v>
      </c>
      <c r="N162" s="134">
        <v>0</v>
      </c>
      <c r="O162" s="129">
        <v>14.027777777777779</v>
      </c>
      <c r="P162" s="129">
        <v>8.2944444444444443</v>
      </c>
      <c r="Q162" s="129">
        <v>8.5333333333333332</v>
      </c>
      <c r="R162" s="129">
        <v>12.433333333333334</v>
      </c>
      <c r="S162" s="129">
        <v>12.3</v>
      </c>
      <c r="T162" s="129">
        <v>3</v>
      </c>
      <c r="U162" s="129">
        <v>6.7833333333333332</v>
      </c>
      <c r="V162" s="129">
        <v>0</v>
      </c>
      <c r="W162" s="129">
        <v>0</v>
      </c>
      <c r="X162" s="129">
        <v>0</v>
      </c>
      <c r="Y162" s="129">
        <v>0</v>
      </c>
      <c r="Z162" s="129">
        <v>0</v>
      </c>
      <c r="AA162" s="129">
        <v>0</v>
      </c>
      <c r="AB162" s="129">
        <v>51.344444444444441</v>
      </c>
      <c r="AC162" s="129">
        <v>0</v>
      </c>
      <c r="AD162" s="129">
        <v>0</v>
      </c>
      <c r="AE162" s="129">
        <v>65.37222222222222</v>
      </c>
      <c r="AF162" s="129">
        <v>51.344444444444441</v>
      </c>
      <c r="AG162" s="129">
        <v>65.37222222222222</v>
      </c>
      <c r="AH162" s="133">
        <v>19.566666666666666</v>
      </c>
      <c r="AI162" s="133">
        <v>0</v>
      </c>
      <c r="AJ162" s="133">
        <v>19.566666666666666</v>
      </c>
      <c r="AK162" s="134">
        <v>12</v>
      </c>
      <c r="AL162" s="141">
        <v>14</v>
      </c>
      <c r="AM162" s="129">
        <v>8</v>
      </c>
      <c r="AN162" s="129">
        <v>11</v>
      </c>
      <c r="AO162" s="129">
        <v>17</v>
      </c>
      <c r="AP162" s="129">
        <v>13</v>
      </c>
      <c r="AQ162" s="129">
        <v>0</v>
      </c>
      <c r="AR162" s="129">
        <v>0</v>
      </c>
      <c r="AS162" s="129">
        <v>0</v>
      </c>
      <c r="AT162" s="129">
        <v>0</v>
      </c>
      <c r="AU162" s="129">
        <v>0</v>
      </c>
      <c r="AV162" s="129">
        <v>0</v>
      </c>
      <c r="AW162" s="129">
        <v>0</v>
      </c>
      <c r="AX162" s="129">
        <v>63</v>
      </c>
      <c r="AY162" s="129">
        <v>0</v>
      </c>
      <c r="AZ162" s="129">
        <v>0</v>
      </c>
      <c r="BA162" s="129">
        <v>75</v>
      </c>
      <c r="BB162" s="129">
        <v>63</v>
      </c>
      <c r="BC162" s="129">
        <v>75</v>
      </c>
      <c r="BD162" s="129">
        <v>12</v>
      </c>
      <c r="BE162" s="129">
        <v>0</v>
      </c>
      <c r="BF162" s="129">
        <v>0</v>
      </c>
      <c r="BG162" s="132">
        <v>41</v>
      </c>
      <c r="BH162" s="129">
        <v>16</v>
      </c>
      <c r="BI162" s="134">
        <v>0</v>
      </c>
      <c r="BJ162" s="134">
        <v>16</v>
      </c>
      <c r="BK162" s="134">
        <v>8</v>
      </c>
      <c r="BL162" s="134">
        <v>9</v>
      </c>
      <c r="BM162" s="134">
        <v>56</v>
      </c>
      <c r="BN162" s="134">
        <v>56</v>
      </c>
      <c r="BO162" s="134">
        <v>0</v>
      </c>
      <c r="BP162" s="134">
        <v>0</v>
      </c>
      <c r="BQ162" s="134">
        <v>65</v>
      </c>
      <c r="BR162" s="135">
        <v>6.5000000000000002E-2</v>
      </c>
      <c r="BS162" s="136">
        <v>6.8</v>
      </c>
      <c r="BT162" s="136">
        <v>5.8</v>
      </c>
      <c r="BU162" s="136">
        <v>5.8</v>
      </c>
      <c r="BV162" s="136">
        <v>7.8000000000000007</v>
      </c>
      <c r="BW162" s="137">
        <v>0</v>
      </c>
      <c r="BX162" s="137">
        <v>0</v>
      </c>
      <c r="BY162" s="138">
        <v>0</v>
      </c>
    </row>
    <row r="163" spans="1:77">
      <c r="A163" s="130" t="s">
        <v>724</v>
      </c>
      <c r="B163" s="130" t="s">
        <v>725</v>
      </c>
      <c r="C163" s="129" t="s">
        <v>726</v>
      </c>
      <c r="D163" s="129" t="s">
        <v>143</v>
      </c>
      <c r="E163" s="133">
        <v>56.111111111111114</v>
      </c>
      <c r="F163" s="133">
        <v>3.3777777777777778</v>
      </c>
      <c r="G163" s="134">
        <v>0</v>
      </c>
      <c r="H163" s="134">
        <v>0</v>
      </c>
      <c r="I163" s="134">
        <v>0</v>
      </c>
      <c r="J163" s="134">
        <v>287</v>
      </c>
      <c r="K163" s="134">
        <v>287</v>
      </c>
      <c r="L163" s="134">
        <v>287</v>
      </c>
      <c r="M163" s="134">
        <v>0</v>
      </c>
      <c r="N163" s="134">
        <v>3</v>
      </c>
      <c r="O163" s="129">
        <v>0</v>
      </c>
      <c r="P163" s="129">
        <v>0</v>
      </c>
      <c r="Q163" s="129">
        <v>0</v>
      </c>
      <c r="R163" s="129">
        <v>0</v>
      </c>
      <c r="S163" s="129">
        <v>0</v>
      </c>
      <c r="T163" s="129">
        <v>0</v>
      </c>
      <c r="U163" s="129">
        <v>0</v>
      </c>
      <c r="V163" s="129">
        <v>0</v>
      </c>
      <c r="W163" s="129">
        <v>0</v>
      </c>
      <c r="X163" s="129">
        <v>51.18888888888889</v>
      </c>
      <c r="Y163" s="129">
        <v>63.755555555555553</v>
      </c>
      <c r="Z163" s="129">
        <v>73.761111111111106</v>
      </c>
      <c r="AA163" s="129">
        <v>81.355555555555554</v>
      </c>
      <c r="AB163" s="129">
        <v>0</v>
      </c>
      <c r="AC163" s="129">
        <v>0</v>
      </c>
      <c r="AD163" s="129">
        <v>270.06111111111113</v>
      </c>
      <c r="AE163" s="129">
        <v>0</v>
      </c>
      <c r="AF163" s="129">
        <v>270.06111111111113</v>
      </c>
      <c r="AG163" s="129">
        <v>270.06111111111113</v>
      </c>
      <c r="AH163" s="133">
        <v>57.45</v>
      </c>
      <c r="AI163" s="133">
        <v>3.6722222222222221</v>
      </c>
      <c r="AJ163" s="133">
        <v>61.122222222222227</v>
      </c>
      <c r="AK163" s="134">
        <v>0</v>
      </c>
      <c r="AL163" s="141">
        <v>0</v>
      </c>
      <c r="AM163" s="129">
        <v>0</v>
      </c>
      <c r="AN163" s="129">
        <v>0</v>
      </c>
      <c r="AO163" s="129">
        <v>0</v>
      </c>
      <c r="AP163" s="129">
        <v>0</v>
      </c>
      <c r="AQ163" s="129">
        <v>0</v>
      </c>
      <c r="AR163" s="129">
        <v>0</v>
      </c>
      <c r="AS163" s="129">
        <v>0</v>
      </c>
      <c r="AT163" s="129">
        <v>43</v>
      </c>
      <c r="AU163" s="129">
        <v>79</v>
      </c>
      <c r="AV163" s="129">
        <v>78</v>
      </c>
      <c r="AW163" s="129">
        <v>75</v>
      </c>
      <c r="AX163" s="129">
        <v>0</v>
      </c>
      <c r="AY163" s="129">
        <v>0</v>
      </c>
      <c r="AZ163" s="129">
        <v>275</v>
      </c>
      <c r="BA163" s="129">
        <v>0</v>
      </c>
      <c r="BB163" s="129">
        <v>275</v>
      </c>
      <c r="BC163" s="129">
        <v>275</v>
      </c>
      <c r="BD163" s="129">
        <v>0</v>
      </c>
      <c r="BE163" s="129">
        <v>0</v>
      </c>
      <c r="BF163" s="129">
        <v>0</v>
      </c>
      <c r="BG163" s="132">
        <v>158</v>
      </c>
      <c r="BH163" s="129">
        <v>66</v>
      </c>
      <c r="BI163" s="134">
        <v>5</v>
      </c>
      <c r="BJ163" s="134">
        <v>71</v>
      </c>
      <c r="BK163" s="134">
        <v>17</v>
      </c>
      <c r="BL163" s="134">
        <v>0</v>
      </c>
      <c r="BM163" s="134">
        <v>275</v>
      </c>
      <c r="BN163" s="134">
        <v>0</v>
      </c>
      <c r="BO163" s="134">
        <v>0</v>
      </c>
      <c r="BP163" s="134">
        <v>275</v>
      </c>
      <c r="BQ163" s="134">
        <v>275</v>
      </c>
      <c r="BR163" s="135">
        <v>5.7281553398058294E-2</v>
      </c>
      <c r="BS163" s="136">
        <v>18.536999999999999</v>
      </c>
      <c r="BT163" s="136">
        <v>16.536999999999999</v>
      </c>
      <c r="BU163" s="136">
        <v>16.536999999999999</v>
      </c>
      <c r="BV163" s="136">
        <v>19.536999999999999</v>
      </c>
      <c r="BW163" s="137">
        <v>0</v>
      </c>
      <c r="BX163" s="137">
        <v>0</v>
      </c>
      <c r="BY163" s="138">
        <v>0</v>
      </c>
    </row>
    <row r="164" spans="1:77">
      <c r="A164" s="130" t="s">
        <v>727</v>
      </c>
      <c r="B164" s="130" t="s">
        <v>728</v>
      </c>
      <c r="C164" s="129" t="s">
        <v>729</v>
      </c>
      <c r="D164" s="129" t="s">
        <v>143</v>
      </c>
      <c r="E164" s="133">
        <v>2.4888888888888889</v>
      </c>
      <c r="F164" s="133">
        <v>0</v>
      </c>
      <c r="G164" s="134">
        <v>0</v>
      </c>
      <c r="H164" s="134">
        <v>0</v>
      </c>
      <c r="I164" s="134">
        <v>0</v>
      </c>
      <c r="J164" s="134">
        <v>484</v>
      </c>
      <c r="K164" s="134">
        <v>484</v>
      </c>
      <c r="L164" s="134">
        <v>484</v>
      </c>
      <c r="M164" s="134">
        <v>0</v>
      </c>
      <c r="N164" s="134">
        <v>0</v>
      </c>
      <c r="O164" s="129">
        <v>0</v>
      </c>
      <c r="P164" s="129">
        <v>0</v>
      </c>
      <c r="Q164" s="129">
        <v>0</v>
      </c>
      <c r="R164" s="129">
        <v>0</v>
      </c>
      <c r="S164" s="129">
        <v>0</v>
      </c>
      <c r="T164" s="129">
        <v>0</v>
      </c>
      <c r="U164" s="129">
        <v>0</v>
      </c>
      <c r="V164" s="129">
        <v>0</v>
      </c>
      <c r="W164" s="129">
        <v>0</v>
      </c>
      <c r="X164" s="129">
        <v>62.327777777777776</v>
      </c>
      <c r="Y164" s="129">
        <v>158.81666666666666</v>
      </c>
      <c r="Z164" s="129">
        <v>126.80555555555556</v>
      </c>
      <c r="AA164" s="129">
        <v>117.95555555555555</v>
      </c>
      <c r="AB164" s="129">
        <v>0</v>
      </c>
      <c r="AC164" s="129">
        <v>0</v>
      </c>
      <c r="AD164" s="129">
        <v>465.90555555555557</v>
      </c>
      <c r="AE164" s="129">
        <v>0</v>
      </c>
      <c r="AF164" s="129">
        <v>465.90555555555557</v>
      </c>
      <c r="AG164" s="129">
        <v>465.90555555555557</v>
      </c>
      <c r="AH164" s="133">
        <v>2</v>
      </c>
      <c r="AI164" s="133">
        <v>0</v>
      </c>
      <c r="AJ164" s="133">
        <v>2</v>
      </c>
      <c r="AK164" s="134">
        <v>0</v>
      </c>
      <c r="AL164" s="141">
        <v>0</v>
      </c>
      <c r="AM164" s="129">
        <v>0</v>
      </c>
      <c r="AN164" s="129">
        <v>0</v>
      </c>
      <c r="AO164" s="129">
        <v>0</v>
      </c>
      <c r="AP164" s="129">
        <v>0</v>
      </c>
      <c r="AQ164" s="129">
        <v>0</v>
      </c>
      <c r="AR164" s="129">
        <v>0</v>
      </c>
      <c r="AS164" s="129">
        <v>0</v>
      </c>
      <c r="AT164" s="129">
        <v>70</v>
      </c>
      <c r="AU164" s="129">
        <v>176</v>
      </c>
      <c r="AV164" s="129">
        <v>147</v>
      </c>
      <c r="AW164" s="129">
        <v>129</v>
      </c>
      <c r="AX164" s="129">
        <v>0</v>
      </c>
      <c r="AY164" s="129">
        <v>0</v>
      </c>
      <c r="AZ164" s="129">
        <v>522</v>
      </c>
      <c r="BA164" s="129">
        <v>0</v>
      </c>
      <c r="BB164" s="129">
        <v>522</v>
      </c>
      <c r="BC164" s="129">
        <v>522</v>
      </c>
      <c r="BD164" s="129">
        <v>0</v>
      </c>
      <c r="BE164" s="129">
        <v>0</v>
      </c>
      <c r="BF164" s="129">
        <v>1</v>
      </c>
      <c r="BG164" s="132">
        <v>65</v>
      </c>
      <c r="BH164" s="129">
        <v>8</v>
      </c>
      <c r="BI164" s="134">
        <v>0</v>
      </c>
      <c r="BJ164" s="134">
        <v>8</v>
      </c>
      <c r="BK164" s="134">
        <v>6</v>
      </c>
      <c r="BL164" s="134">
        <v>0</v>
      </c>
      <c r="BM164" s="134">
        <v>500</v>
      </c>
      <c r="BN164" s="134">
        <v>0</v>
      </c>
      <c r="BO164" s="134">
        <v>0</v>
      </c>
      <c r="BP164" s="134">
        <v>500</v>
      </c>
      <c r="BQ164" s="134">
        <v>500</v>
      </c>
      <c r="BR164" s="135">
        <v>0.10360951926138173</v>
      </c>
      <c r="BS164" s="136">
        <v>19.475999999999999</v>
      </c>
      <c r="BT164" s="136">
        <v>17.936</v>
      </c>
      <c r="BU164" s="136">
        <v>17.936</v>
      </c>
      <c r="BV164" s="136">
        <v>19.475999999999999</v>
      </c>
      <c r="BW164" s="137">
        <v>0</v>
      </c>
      <c r="BX164" s="137">
        <v>0</v>
      </c>
      <c r="BY164" s="138">
        <v>0</v>
      </c>
    </row>
    <row r="165" spans="1:77">
      <c r="E165" s="142">
        <f>SUBTOTAL(109,FY25_LE_Data245[FY22ADM - SPED Resource])</f>
        <v>70443.305555555547</v>
      </c>
      <c r="F165" s="142">
        <f>SUBTOTAL(109,FY25_LE_Data245[FY22ADM - SPED Self-Contained])</f>
        <v>11523.833333333336</v>
      </c>
      <c r="G165" s="141">
        <f>SUBTOTAL(109,FY25_LE_Data245[Oct 1, 2022 - K])</f>
        <v>46694</v>
      </c>
      <c r="H165" s="141">
        <f>SUBTOTAL(109,FY25_LE_Data245[Oct 1, 2022 - Grades 1-6])</f>
        <v>307225</v>
      </c>
      <c r="I165" s="141">
        <f>SUBTOTAL(109,FY25_LE_Data245[Oct 1, 2022 - Grades 7-8])</f>
        <v>107167</v>
      </c>
      <c r="J165" s="141">
        <f>SUBTOTAL(109,FY25_LE_Data245[Oct 1, 2022 - Grades 9-12])</f>
        <v>214760</v>
      </c>
      <c r="K165" s="141">
        <f>SUBTOTAL(109,FY25_LE_Data245[Oct 1, 2022 - Grades K-12])</f>
        <v>675846</v>
      </c>
      <c r="L165" s="141">
        <f>SUBTOTAL(109,FY25_LE_Data245[Oct 1, 2022 - Grades 1-12])</f>
        <v>629152</v>
      </c>
      <c r="M165" s="141">
        <f>SUBTOTAL(109,FY25_LE_Data245[Oct 1, 2022 - Grades K-8])</f>
        <v>461086</v>
      </c>
      <c r="N165" s="141">
        <f>SUBTOTAL(109,FY25_LE_Data245[Oct 1, 2022 - Self-Contained])</f>
        <v>11546</v>
      </c>
      <c r="O165" s="142">
        <f>SUBTOTAL(109,FY25_LE_Data245[FY23 ADM - K])</f>
        <v>45562.083333333343</v>
      </c>
      <c r="P165" s="142">
        <f>SUBTOTAL(109,FY25_LE_Data245[FY23 ADM - Grade 1])</f>
        <v>49280.738888888904</v>
      </c>
      <c r="Q165" s="142">
        <f>SUBTOTAL(109,FY25_LE_Data245[FY23 ADM - Grade 2])</f>
        <v>49305.505555555559</v>
      </c>
      <c r="R165" s="142">
        <f>SUBTOTAL(109,FY25_LE_Data245[FY23 ADM - Grade 3])</f>
        <v>49947.555555555562</v>
      </c>
      <c r="S165" s="142">
        <f>SUBTOTAL(109,FY25_LE_Data245[FY23 ADM - Grade 4])</f>
        <v>50906.922222222223</v>
      </c>
      <c r="T165" s="142">
        <f>SUBTOTAL(109,FY25_LE_Data245[FY23 ADM - Grade 5])</f>
        <v>49875.600000000013</v>
      </c>
      <c r="U165" s="142">
        <f>SUBTOTAL(109,FY25_LE_Data245[FY23 ADM - Grade 6])</f>
        <v>51171.5222222222</v>
      </c>
      <c r="V165" s="142">
        <f>SUBTOTAL(109,FY25_LE_Data245[FY23 ADM - Grade 7])</f>
        <v>51711.422222222216</v>
      </c>
      <c r="W165" s="142">
        <f>SUBTOTAL(109,FY25_LE_Data245[FY23 ADM - Grade 8])</f>
        <v>52771.127777777765</v>
      </c>
      <c r="X165" s="142">
        <f>SUBTOTAL(109,FY25_LE_Data245[FY23 ADM - Grade 9])</f>
        <v>54150.766666666692</v>
      </c>
      <c r="Y165" s="142">
        <f>SUBTOTAL(109,FY25_LE_Data245[FY23 ADM - Grade 10])</f>
        <v>53915.55000000001</v>
      </c>
      <c r="Z165" s="142">
        <f>SUBTOTAL(109,FY25_LE_Data245[FY23 ADM - Grade 11])</f>
        <v>51068.699999999961</v>
      </c>
      <c r="AA165" s="142">
        <f>SUBTOTAL(109,FY25_LE_Data245[FY23 ADM - Grade 12])</f>
        <v>44624.683333333327</v>
      </c>
      <c r="AB165" s="142">
        <f>SUBTOTAL(109,FY25_LE_Data245[FY23 ADM - Grades 1-6])</f>
        <v>300487.8444444444</v>
      </c>
      <c r="AC165" s="142">
        <f>SUBTOTAL(109,FY25_LE_Data245[FY23 ADM - Grades 7-8])</f>
        <v>104482.54999999997</v>
      </c>
      <c r="AD165" s="142">
        <f>SUBTOTAL(109,FY25_LE_Data245[FY23 ADM - Grades 9-12])</f>
        <v>203759.70000000004</v>
      </c>
      <c r="AE165" s="142">
        <f>SUBTOTAL(109,FY25_LE_Data245[FY23 ADM - Grades K-8])</f>
        <v>450532.47777777776</v>
      </c>
      <c r="AF165" s="142">
        <f>SUBTOTAL(109,FY25_LE_Data245[FY23 ADM - Grades 1-12])</f>
        <v>608730.09444444452</v>
      </c>
      <c r="AG165" s="142">
        <f>SUBTOTAL(109,FY25_LE_Data245[FY23 ADM - Grades K-12])</f>
        <v>654292.17777777789</v>
      </c>
      <c r="AH165" s="142">
        <f>SUBTOTAL(109,FY25_LE_Data245[FY23ADM - SPED Resource])</f>
        <v>73194.161111111025</v>
      </c>
      <c r="AI165" s="142">
        <f>SUBTOTAL(109,FY25_LE_Data245[FY23ADM - SPED Self-Contained])</f>
        <v>11778.861111111113</v>
      </c>
      <c r="AJ165" s="142">
        <f>SUBTOTAL(109,FY25_LE_Data245[FY23ADM - Total SPED])</f>
        <v>84973.022222222222</v>
      </c>
      <c r="AK165" s="142">
        <f>SUBTOTAL(109,FY25_LE_Data245[Oct. 1, 2023 - K])</f>
        <v>45256</v>
      </c>
      <c r="AL165" s="142">
        <f>SUBTOTAL(109,FY25_LE_Data245[Oct. 1, 2023 - Grade 1])</f>
        <v>48197</v>
      </c>
      <c r="AM165" s="142">
        <f>SUBTOTAL(109,FY25_LE_Data245[Oct. 1, 2023 - Grade 2])</f>
        <v>50926</v>
      </c>
      <c r="AN165" s="142">
        <f>SUBTOTAL(109,FY25_LE_Data245[Oct. 1, 2023 - Grade 3])</f>
        <v>51017</v>
      </c>
      <c r="AO165" s="142">
        <f>SUBTOTAL(109,FY25_LE_Data245[Oct. 1, 2023 - Grade 4])</f>
        <v>51429</v>
      </c>
      <c r="AP165" s="142">
        <f>SUBTOTAL(109,FY25_LE_Data245[Oct. 1, 2023 - Grade 5])</f>
        <v>52597</v>
      </c>
      <c r="AQ165" s="142">
        <f>SUBTOTAL(109,FY25_LE_Data245[Oct. 1, 2023 - Grade 6])</f>
        <v>51476</v>
      </c>
      <c r="AR165" s="142">
        <f>SUBTOTAL(109,FY25_LE_Data245[Oct. 1, 2023 - Grade 7])</f>
        <v>52969</v>
      </c>
      <c r="AS165" s="142">
        <f>SUBTOTAL(109,FY25_LE_Data245[Oct. 1, 2023 - Grade 8])</f>
        <v>53344</v>
      </c>
      <c r="AT165" s="142">
        <f>SUBTOTAL(109,FY25_LE_Data245[Oct. 1, 2023 - Grade 9])</f>
        <v>54553</v>
      </c>
      <c r="AU165" s="142">
        <f>SUBTOTAL(109,FY25_LE_Data245[Oct. 1, 2023 - Grade 10])</f>
        <v>55713</v>
      </c>
      <c r="AV165" s="142">
        <f>SUBTOTAL(109,FY25_LE_Data245[Oct. 1, 2023 - Grade 11])</f>
        <v>54586</v>
      </c>
      <c r="AW165" s="142">
        <f>SUBTOTAL(109,FY25_LE_Data245[Oct. 1, 2023 - Grade 12])</f>
        <v>51906</v>
      </c>
      <c r="AX165" s="142">
        <f>SUBTOTAL(109,FY25_LE_Data245[Oct. 1, 2023 - Grades 1-6])</f>
        <v>305642</v>
      </c>
      <c r="AY165" s="142">
        <f>SUBTOTAL(109,FY25_LE_Data245[Oct. 1, 2023 - Grades 7-8])</f>
        <v>106313</v>
      </c>
      <c r="AZ165" s="142">
        <f>SUBTOTAL(109,FY25_LE_Data245[Oct. 1, 2023 - Grades 9-12])</f>
        <v>216758</v>
      </c>
      <c r="BA165" s="142">
        <f>SUBTOTAL(109,FY25_LE_Data245[Oct. 1, 2023 - Grades K-8])</f>
        <v>457211</v>
      </c>
      <c r="BB165" s="142">
        <f>SUBTOTAL(109,FY25_LE_Data245[Oct. 1, 2023 - Grades 1-12])</f>
        <v>628713</v>
      </c>
      <c r="BC165" s="142">
        <f>SUBTOTAL(109,FY25_LE_Data245[Oct. 1, 2023 - Grades K-12])</f>
        <v>673969</v>
      </c>
      <c r="BD165" s="142">
        <f>SUBTOTAL(109,FY25_LE_Data245[Oct. 1, 2023 - FDK Counts])</f>
        <v>34911</v>
      </c>
      <c r="BE165" s="142">
        <f>SUBTOTAL(109,FY25_LE_Data245[Oct. 1, 2023 - HDK Counts])</f>
        <v>10345</v>
      </c>
      <c r="BF165" s="142">
        <f>SUBTOTAL(109,FY25_LE_Data245[Oct. 1, 2023 - Foreign Exchange])</f>
        <v>353</v>
      </c>
      <c r="BG165" s="142">
        <f>SUBTOTAL(109,FY25_LE_Data245[Oct. 1, 2023 - Econ. Disadv.])</f>
        <v>205313</v>
      </c>
      <c r="BH165" s="142">
        <f>SUBTOTAL(109,FY25_LE_Data245[Oct. 1, 2023 - SPED Resource])</f>
        <v>74559</v>
      </c>
      <c r="BI165" s="142">
        <f>SUBTOTAL(109,FY25_LE_Data245[Oct. 1, 2023 - SPED Self-Contained])</f>
        <v>11980</v>
      </c>
      <c r="BJ165" s="142">
        <f>SUBTOTAL(109,FY25_LE_Data245[Oct. 1, 2023 - Total SPED])</f>
        <v>86539</v>
      </c>
      <c r="BK165" s="142">
        <f>SUBTOTAL(109,FY25_LE_Data245[Oct. 1, 2023 - LEP])</f>
        <v>59187</v>
      </c>
      <c r="BL165" s="142">
        <f>SUBTOTAL(109,FY25_LE_Data245[Oct 1, 2024 (CDC) - K])</f>
        <v>47038.957777619209</v>
      </c>
      <c r="BM165" s="142">
        <f>SUBTOTAL(109,FY25_LE_Data245[Oct 1, 2024 (CDC) - Grades 1-12])</f>
        <v>622842.04222238087</v>
      </c>
      <c r="BN165" s="142">
        <f>SUBTOTAL(109,FY25_LE_Data245[Oct 1, 2024 (CDC) - Grades 1-6])</f>
        <v>42783</v>
      </c>
      <c r="BO165" s="142">
        <f>SUBTOTAL(109,FY25_LE_Data245[Oct 1, 2024 (CDC) - Grades 7-8])</f>
        <v>11991</v>
      </c>
      <c r="BP165" s="142">
        <f>SUBTOTAL(109,FY25_LE_Data245[Oct 1, 2024 (CDC) - Grades 9-12])</f>
        <v>17158</v>
      </c>
      <c r="BQ165" s="142">
        <f>SUBTOTAL(109,FY25_LE_Data245[Oct 1, 2024 (CDC) - Grades K-12])</f>
        <v>669881</v>
      </c>
      <c r="BR165" s="142">
        <f>SUBTOTAL(109,FY25_LE_Data245[Prostaff Ratios])</f>
        <v>11.974604401574979</v>
      </c>
      <c r="BS165" s="142">
        <f>SUBTOTAL(109,FY25_LE_Data245[ESA - All])</f>
        <v>38689.897320000033</v>
      </c>
      <c r="BT165" s="142">
        <f>SUBTOTAL(109,FY25_LE_Data245[ESA - Educators Only])</f>
        <v>36872.321320000032</v>
      </c>
      <c r="BU165" s="142">
        <f>SUBTOTAL(109,FY25_LE_Data245[TSM FTE])</f>
        <v>34418.054980000008</v>
      </c>
      <c r="BV165" s="142">
        <f>SUBTOTAL(109,FY25_LE_Data245[Educ. Prof. Hrs. FTE])</f>
        <v>38333.278880000056</v>
      </c>
      <c r="BW165" s="141">
        <f>SUBTOTAL(109,FY25_LE_Data245[Oct 1 2020 Counts - Online Students &gt;180 Days ])</f>
        <v>12086</v>
      </c>
      <c r="BX165" s="141">
        <f>SUBTOTAL(109,FY25_LE_Data245[Oct 1 2023 Counts - Online Students &gt;180 Days in FY2023/Still Online on Oct 1])</f>
        <v>11414</v>
      </c>
      <c r="BY165" s="142">
        <f>SUBTOTAL(109,FY25_LE_Data245[FY23 ADM - Online Students &gt;180 Days ])</f>
        <v>24125.066656999992</v>
      </c>
    </row>
    <row r="166" spans="1:77">
      <c r="BW166" s="141"/>
      <c r="BX166" s="141"/>
    </row>
    <row r="167" spans="1:77">
      <c r="D167" s="129" t="s">
        <v>143</v>
      </c>
      <c r="E167" s="142">
        <f>SUMIF(FY25_LE_Data245[[Type]:[Type]],$D$167,FY25_LE_Data245[FY22ADM - SPED Resource])</f>
        <v>10179.966666666665</v>
      </c>
      <c r="F167" s="142">
        <f>SUMIF(FY25_LE_Data245[[Type]:[Type]],$D$167,FY25_LE_Data245[FY22ADM - SPED Self-Contained])</f>
        <v>1051.0055555555552</v>
      </c>
      <c r="G167" s="142">
        <f>SUMIF(FY25_LE_Data245[[Type]:[Type]],$D$167,FY25_LE_Data245[Oct 1, 2022 - K])</f>
        <v>7348</v>
      </c>
      <c r="H167" s="142">
        <f>SUMIF(FY25_LE_Data245[[Type]:[Type]],$D$167,FY25_LE_Data245[Oct 1, 2022 - Grades 1-6])</f>
        <v>42630</v>
      </c>
      <c r="I167" s="142">
        <f>SUMIF(FY25_LE_Data245[[Type]:[Type]],$D$167,FY25_LE_Data245[Oct 1, 2022 - Grades 7-8])</f>
        <v>11856</v>
      </c>
      <c r="J167" s="142">
        <f>SUMIF(FY25_LE_Data245[[Type]:[Type]],$D$167,FY25_LE_Data245[Oct 1, 2022 - Grades 9-12])</f>
        <v>16927</v>
      </c>
      <c r="K167" s="142">
        <f>SUMIF(FY25_LE_Data245[[Type]:[Type]],$D$167,FY25_LE_Data245[Oct 1, 2022 - Grades K-12])</f>
        <v>78761</v>
      </c>
      <c r="L167" s="142">
        <f>SUMIF(FY25_LE_Data245[[Type]:[Type]],$D$167,FY25_LE_Data245[Oct 1, 2022 - Grades 1-12])</f>
        <v>71413</v>
      </c>
      <c r="M167" s="142">
        <f>SUMIF(FY25_LE_Data245[[Type]:[Type]],$D$167,FY25_LE_Data245[Oct 1, 2022 - Grades K-8])</f>
        <v>61834</v>
      </c>
      <c r="N167" s="142">
        <f>SUMIF(FY25_LE_Data245[[Type]:[Type]],$D$167,FY25_LE_Data245[Oct 1, 2022 - Self-Contained])</f>
        <v>1037</v>
      </c>
      <c r="O167" s="142">
        <f>SUMIF(FY25_LE_Data245[[Type]:[Type]],$D$167,FY25_LE_Data245[FY23 ADM - K])</f>
        <v>7216.5388888888901</v>
      </c>
      <c r="P167" s="142">
        <f>SUMIF(FY25_LE_Data245[[Type]:[Type]],$D$167,FY25_LE_Data245[FY23 ADM - Grade 1])</f>
        <v>7116.5777777777794</v>
      </c>
      <c r="Q167" s="142">
        <f>SUMIF(FY25_LE_Data245[[Type]:[Type]],$D$167,FY25_LE_Data245[FY23 ADM - Grade 2])</f>
        <v>7179.7444444444454</v>
      </c>
      <c r="R167" s="142">
        <f>SUMIF(FY25_LE_Data245[[Type]:[Type]],$D$167,FY25_LE_Data245[FY23 ADM - Grade 3])</f>
        <v>7023.0722222222257</v>
      </c>
      <c r="S167" s="142">
        <f>SUMIF(FY25_LE_Data245[[Type]:[Type]],$D$167,FY25_LE_Data245[FY23 ADM - Grade 4])</f>
        <v>6959.3444444444449</v>
      </c>
      <c r="T167" s="142">
        <f>SUMIF(FY25_LE_Data245[[Type]:[Type]],$D$167,FY25_LE_Data245[FY23 ADM - Grade 5])</f>
        <v>6620.1944444444407</v>
      </c>
      <c r="U167" s="142">
        <f>SUMIF(FY25_LE_Data245[[Type]:[Type]],$D$167,FY25_LE_Data245[FY23 ADM - Grade 6])</f>
        <v>6729.7388888888891</v>
      </c>
      <c r="V167" s="142">
        <f>SUMIF(FY25_LE_Data245[[Type]:[Type]],$D$167,FY25_LE_Data245[FY23 ADM - Grade 7])</f>
        <v>5894.5444444444456</v>
      </c>
      <c r="W167" s="142">
        <f>SUMIF(FY25_LE_Data245[[Type]:[Type]],$D$167,FY25_LE_Data245[FY23 ADM - Grade 8])</f>
        <v>5708.1055555555567</v>
      </c>
      <c r="X167" s="142">
        <f>SUMIF(FY25_LE_Data245[[Type]:[Type]],$D$167,FY25_LE_Data245[FY23 ADM - Grade 9])</f>
        <v>4899.4777777777781</v>
      </c>
      <c r="Y167" s="142">
        <f>SUMIF(FY25_LE_Data245[[Type]:[Type]],$D$167,FY25_LE_Data245[FY23 ADM - Grade 10])</f>
        <v>4136.6166666666668</v>
      </c>
      <c r="Z167" s="142">
        <f>SUMIF(FY25_LE_Data245[[Type]:[Type]],$D$167,FY25_LE_Data245[FY23 ADM - Grade 11])</f>
        <v>3937.1277777777782</v>
      </c>
      <c r="AA167" s="142">
        <f>SUMIF(FY25_LE_Data245[[Type]:[Type]],$D$167,FY25_LE_Data245[FY23 ADM - Grade 12])</f>
        <v>3373.8500000000008</v>
      </c>
      <c r="AB167" s="142">
        <f>SUMIF(FY25_LE_Data245[[Type]:[Type]],$D$167,FY25_LE_Data245[FY23 ADM - Grades 1-6])</f>
        <v>41628.672222222216</v>
      </c>
      <c r="AC167" s="142">
        <f>SUMIF(FY25_LE_Data245[[Type]:[Type]],$D$167,FY25_LE_Data245[FY23 ADM - Grades 7-8])</f>
        <v>11602.649999999998</v>
      </c>
      <c r="AD167" s="142">
        <f>SUMIF(FY25_LE_Data245[[Type]:[Type]],$D$167,FY25_LE_Data245[FY23 ADM - Grades 9-12])</f>
        <v>16347.072222222219</v>
      </c>
      <c r="AE167" s="142">
        <f>SUMIF(FY25_LE_Data245[[Type]:[Type]],$D$167,FY25_LE_Data245[FY23 ADM - Grades K-8])</f>
        <v>60447.861111111109</v>
      </c>
      <c r="AF167" s="142">
        <f>SUMIF(FY25_LE_Data245[[Type]:[Type]],$D$167,FY25_LE_Data245[FY23 ADM - Grades 1-12])</f>
        <v>69578.39444444445</v>
      </c>
      <c r="AG167" s="142">
        <f>SUMIF(FY25_LE_Data245[[Type]:[Type]],$D$167,FY25_LE_Data245[FY23 ADM - Grades K-12])</f>
        <v>76794.933333333378</v>
      </c>
      <c r="AH167" s="142">
        <f>SUMIF(FY25_LE_Data245[[Type]:[Type]],$D$167,FY25_LE_Data245[FY23ADM - SPED Resource])</f>
        <v>10787.011111111111</v>
      </c>
      <c r="AI167" s="142">
        <f>SUMIF(FY25_LE_Data245[[Type]:[Type]],$D$167,FY25_LE_Data245[FY23ADM - SPED Self-Contained])</f>
        <v>1023.2666666666667</v>
      </c>
      <c r="AJ167" s="142">
        <f>SUMIF(FY25_LE_Data245[[Type]:[Type]],$D$167,FY25_LE_Data245[FY23ADM - Total SPED])</f>
        <v>11810.277777777774</v>
      </c>
      <c r="AK167" s="142">
        <f>SUMIF(FY25_LE_Data245[[Type]:[Type]],$D$167,FY25_LE_Data245[Oct. 1, 2023 - K])</f>
        <v>7360</v>
      </c>
      <c r="AL167" s="142">
        <f>SUMIF(FY25_LE_Data245[[Type]:[Type]],$D$167,FY25_LE_Data245[Oct. 1, 2023 - Grade 1])</f>
        <v>7447</v>
      </c>
      <c r="AM167" s="142">
        <f>SUMIF(FY25_LE_Data245[[Type]:[Type]],$D$167,FY25_LE_Data245[Oct. 1, 2023 - Grade 2])</f>
        <v>7316</v>
      </c>
      <c r="AN167" s="142">
        <f>SUMIF(FY25_LE_Data245[[Type]:[Type]],$D$167,FY25_LE_Data245[Oct. 1, 2023 - Grade 3])</f>
        <v>7374</v>
      </c>
      <c r="AO167" s="142">
        <f>SUMIF(FY25_LE_Data245[[Type]:[Type]],$D$167,FY25_LE_Data245[Oct. 1, 2023 - Grade 4])</f>
        <v>7220</v>
      </c>
      <c r="AP167" s="142">
        <f>SUMIF(FY25_LE_Data245[[Type]:[Type]],$D$167,FY25_LE_Data245[Oct. 1, 2023 - Grade 5])</f>
        <v>7270</v>
      </c>
      <c r="AQ167" s="142">
        <f>SUMIF(FY25_LE_Data245[[Type]:[Type]],$D$167,FY25_LE_Data245[Oct. 1, 2023 - Grade 6])</f>
        <v>6795</v>
      </c>
      <c r="AR167" s="142">
        <f>SUMIF(FY25_LE_Data245[[Type]:[Type]],$D$167,FY25_LE_Data245[Oct. 1, 2023 - Grade 7])</f>
        <v>6152</v>
      </c>
      <c r="AS167" s="142">
        <f>SUMIF(FY25_LE_Data245[[Type]:[Type]],$D$167,FY25_LE_Data245[Oct. 1, 2023 - Grade 8])</f>
        <v>5870</v>
      </c>
      <c r="AT167" s="142">
        <f>SUMIF(FY25_LE_Data245[[Type]:[Type]],$D$167,FY25_LE_Data245[Oct. 1, 2023 - Grade 9])</f>
        <v>4999</v>
      </c>
      <c r="AU167" s="142">
        <f>SUMIF(FY25_LE_Data245[[Type]:[Type]],$D$167,FY25_LE_Data245[Oct. 1, 2023 - Grade 10])</f>
        <v>4278</v>
      </c>
      <c r="AV167" s="142">
        <f>SUMIF(FY25_LE_Data245[[Type]:[Type]],$D$167,FY25_LE_Data245[Oct. 1, 2023 - Grade 11])</f>
        <v>4047</v>
      </c>
      <c r="AW167" s="142">
        <f>SUMIF(FY25_LE_Data245[[Type]:[Type]],$D$167,FY25_LE_Data245[Oct. 1, 2023 - Grade 12])</f>
        <v>3695</v>
      </c>
      <c r="AX167" s="142">
        <f>SUMIF(FY25_LE_Data245[[Type]:[Type]],$D$167,FY25_LE_Data245[Oct. 1, 2023 - Grades 1-6])</f>
        <v>43422</v>
      </c>
      <c r="AY167" s="142">
        <f>SUMIF(FY25_LE_Data245[[Type]:[Type]],$D$167,FY25_LE_Data245[Oct. 1, 2023 - Grades 7-8])</f>
        <v>12022</v>
      </c>
      <c r="AZ167" s="142">
        <f>SUMIF(FY25_LE_Data245[[Type]:[Type]],$D$167,FY25_LE_Data245[Oct. 1, 2023 - Grades 9-12])</f>
        <v>17019</v>
      </c>
      <c r="BA167" s="142">
        <f>SUMIF(FY25_LE_Data245[[Type]:[Type]],$D$167,FY25_LE_Data245[Oct. 1, 2023 - Grades K-8])</f>
        <v>62804</v>
      </c>
      <c r="BB167" s="142">
        <f>SUMIF(FY25_LE_Data245[[Type]:[Type]],$D$167,FY25_LE_Data245[Oct. 1, 2023 - Grades 1-12])</f>
        <v>72463</v>
      </c>
      <c r="BC167" s="142">
        <f>SUMIF(FY25_LE_Data245[[Type]:[Type]],$D$167,FY25_LE_Data245[Oct. 1, 2023 - Grades K-12])</f>
        <v>79823</v>
      </c>
      <c r="BD167" s="142">
        <f>SUMIF(FY25_LE_Data245[[Type]:[Type]],$D$167,FY25_LE_Data245[Oct. 1, 2023 - FDK Counts])</f>
        <v>5217</v>
      </c>
      <c r="BE167" s="142">
        <f>SUMIF(FY25_LE_Data245[[Type]:[Type]],$D$167,FY25_LE_Data245[Oct. 1, 2023 - HDK Counts])</f>
        <v>2143</v>
      </c>
      <c r="BF167" s="142">
        <f>SUMIF(FY25_LE_Data245[[Type]:[Type]],$D$167,FY25_LE_Data245[Oct. 1, 2023 - Foreign Exchange])</f>
        <v>34</v>
      </c>
      <c r="BG167" s="142">
        <f>SUMIF(FY25_LE_Data245[[Type]:[Type]],$D$167,FY25_LE_Data245[Oct. 1, 2023 - Econ. Disadv.])</f>
        <v>23166</v>
      </c>
      <c r="BH167" s="142">
        <f>SUMIF(FY25_LE_Data245[[Type]:[Type]],$D$167,FY25_LE_Data245[Oct. 1, 2023 - SPED Resource])</f>
        <v>11026</v>
      </c>
      <c r="BI167" s="142">
        <f>SUMIF(FY25_LE_Data245[[Type]:[Type]],$D$167,FY25_LE_Data245[Oct. 1, 2023 - SPED Self-Contained])</f>
        <v>973</v>
      </c>
      <c r="BJ167" s="142">
        <f>SUMIF(FY25_LE_Data245[[Type]:[Type]],$D$167,FY25_LE_Data245[Oct. 1, 2023 - Total SPED])</f>
        <v>11999</v>
      </c>
      <c r="BK167" s="142">
        <f>SUMIF(FY25_LE_Data245[[Type]:[Type]],$D$167,FY25_LE_Data245[Oct. 1, 2023 - LEP])</f>
        <v>7257</v>
      </c>
      <c r="BL167" s="142">
        <f>SUMIF(FY25_LE_Data245[[Type]:[Type]],$D$167,FY25_LE_Data245[Oct 1, 2024 (CDC) - K])</f>
        <v>7368</v>
      </c>
      <c r="BM167" s="142">
        <f>SUMIF(FY25_LE_Data245[[Type]:[Type]],$D$167,FY25_LE_Data245[Oct 1, 2024 (CDC) - Grades 1-12])</f>
        <v>71932</v>
      </c>
      <c r="BN167" s="142">
        <f>SUMIF(FY25_LE_Data245[[Type]:[Type]],$D$167,FY25_LE_Data245[Oct 1, 2024 (CDC) - Grades 1-6])</f>
        <v>42783</v>
      </c>
      <c r="BO167" s="142">
        <f>SUMIF(FY25_LE_Data245[[Type]:[Type]],$D$167,FY25_LE_Data245[Oct 1, 2024 (CDC) - Grades 7-8])</f>
        <v>11991</v>
      </c>
      <c r="BP167" s="142">
        <f>SUMIF(FY25_LE_Data245[[Type]:[Type]],$D$167,FY25_LE_Data245[Oct 1, 2024 (CDC) - Grades 9-12])</f>
        <v>17158</v>
      </c>
      <c r="BQ167" s="142">
        <f>SUMIF(FY25_LE_Data245[[Type]:[Type]],$D$167,FY25_LE_Data245[Oct 1, 2024 (CDC) - Grades K-12])</f>
        <v>79300</v>
      </c>
      <c r="BR167" s="142">
        <f>SUMIF(FY25_LE_Data245[[Type]:[Type]],$D$167,FY25_LE_Data245[Prostaff Ratios])</f>
        <v>8.2306861305669514</v>
      </c>
      <c r="BS167" s="142">
        <f>SUMIF(FY25_LE_Data245[[Type]:[Type]],$D$167,FY25_LE_Data245[ESA - All])</f>
        <v>4921.9350000000004</v>
      </c>
      <c r="BT167" s="142">
        <f>SUMIF(FY25_LE_Data245[[Type]:[Type]],$D$167,FY25_LE_Data245[ESA - Educators Only])</f>
        <v>4689.0440000000008</v>
      </c>
      <c r="BU167" s="142">
        <f>SUMIF(FY25_LE_Data245[[Type]:[Type]],$D$167,FY25_LE_Data245[TSM FTE])</f>
        <v>4543.1614999999993</v>
      </c>
      <c r="BV167" s="142">
        <f>SUMIF(FY25_LE_Data245[[Type]:[Type]],$D$167,FY25_LE_Data245[Educ. Prof. Hrs. FTE])</f>
        <v>5015.1704999999993</v>
      </c>
      <c r="BW167" s="141">
        <f>SUMIF(FY25_LE_Data245[[Type]:[Type]],$D$167,FY25_LE_Data245[Oct 1 2020 Counts - Online Students &gt;180 Days ])</f>
        <v>4524</v>
      </c>
      <c r="BX167" s="141">
        <f>SUMIF(FY25_LE_Data245[[Type]:[Type]],$D$167,FY25_LE_Data245[Oct 1 2023 Counts - Online Students &gt;180 Days in FY2023/Still Online on Oct 1])</f>
        <v>2711</v>
      </c>
      <c r="BY167" s="142">
        <f>SUMIF(FY25_LE_Data245[[Type]:[Type]],$D$167,FY25_LE_Data245[FY23 ADM - Online Students &gt;180 Days ])</f>
        <v>3832.3333309999998</v>
      </c>
    </row>
    <row r="168" spans="1:77">
      <c r="D168" s="129" t="s">
        <v>87</v>
      </c>
      <c r="E168" s="142">
        <f>SUMIF(FY25_LE_Data245[[Type]:[Type]],$D$168,FY25_LE_Data245[FY22ADM - SPED Resource])</f>
        <v>60263.338888888873</v>
      </c>
      <c r="F168" s="142">
        <f>SUMIF(FY25_LE_Data245[[Type]:[Type]],$D$168,FY25_LE_Data245[FY22ADM - SPED Self-Contained])</f>
        <v>10290.177777777775</v>
      </c>
      <c r="G168" s="142">
        <f>SUMIF(FY25_LE_Data245[[Type]:[Type]],$D$168,FY25_LE_Data245[Oct 1, 2022 - K])</f>
        <v>39316</v>
      </c>
      <c r="H168" s="142">
        <f>SUMIF(FY25_LE_Data245[[Type]:[Type]],$D$168,FY25_LE_Data245[Oct 1, 2022 - Grades 1-6])</f>
        <v>264502</v>
      </c>
      <c r="I168" s="142">
        <f>SUMIF(FY25_LE_Data245[[Type]:[Type]],$D$168,FY25_LE_Data245[Oct 1, 2022 - Grades 7-8])</f>
        <v>95295</v>
      </c>
      <c r="J168" s="142">
        <f>SUMIF(FY25_LE_Data245[[Type]:[Type]],$D$168,FY25_LE_Data245[Oct 1, 2022 - Grades 9-12])</f>
        <v>197786</v>
      </c>
      <c r="K168" s="142">
        <f>SUMIF(FY25_LE_Data245[[Type]:[Type]],$D$168,FY25_LE_Data245[Oct 1, 2022 - Grades K-12])</f>
        <v>596899</v>
      </c>
      <c r="L168" s="142">
        <f>SUMIF(FY25_LE_Data245[[Type]:[Type]],$D$168,FY25_LE_Data245[Oct 1, 2022 - Grades 1-12])</f>
        <v>557583</v>
      </c>
      <c r="M168" s="142">
        <f>SUMIF(FY25_LE_Data245[[Type]:[Type]],$D$168,FY25_LE_Data245[Oct 1, 2022 - Grades K-8])</f>
        <v>399113</v>
      </c>
      <c r="N168" s="142">
        <f>SUMIF(FY25_LE_Data245[[Type]:[Type]],$D$168,FY25_LE_Data245[Oct 1, 2022 - Self-Contained])</f>
        <v>10335</v>
      </c>
      <c r="O168" s="142">
        <f>SUMIF(FY25_LE_Data245[[Type]:[Type]],$D$168,FY25_LE_Data245[FY23 ADM - K])</f>
        <v>38342.255555555559</v>
      </c>
      <c r="P168" s="142">
        <f>SUMIF(FY25_LE_Data245[[Type]:[Type]],$D$168,FY25_LE_Data245[FY23 ADM - Grade 1])</f>
        <v>42163.844444444454</v>
      </c>
      <c r="Q168" s="142">
        <f>SUMIF(FY25_LE_Data245[[Type]:[Type]],$D$168,FY25_LE_Data245[FY23 ADM - Grade 2])</f>
        <v>42124.133333333339</v>
      </c>
      <c r="R168" s="142">
        <f>SUMIF(FY25_LE_Data245[[Type]:[Type]],$D$168,FY25_LE_Data245[FY23 ADM - Grade 3])</f>
        <v>42924.477777777764</v>
      </c>
      <c r="S168" s="142">
        <f>SUMIF(FY25_LE_Data245[[Type]:[Type]],$D$168,FY25_LE_Data245[FY23 ADM - Grade 4])</f>
        <v>43947.461111111123</v>
      </c>
      <c r="T168" s="142">
        <f>SUMIF(FY25_LE_Data245[[Type]:[Type]],$D$168,FY25_LE_Data245[FY23 ADM - Grade 5])</f>
        <v>43253.083333333328</v>
      </c>
      <c r="U168" s="142">
        <f>SUMIF(FY25_LE_Data245[[Type]:[Type]],$D$168,FY25_LE_Data245[FY23 ADM - Grade 6])</f>
        <v>44440.366666666669</v>
      </c>
      <c r="V168" s="142">
        <f>SUMIF(FY25_LE_Data245[[Type]:[Type]],$D$168,FY25_LE_Data245[FY23 ADM - Grade 7])</f>
        <v>45816.866666666661</v>
      </c>
      <c r="W168" s="142">
        <f>SUMIF(FY25_LE_Data245[[Type]:[Type]],$D$168,FY25_LE_Data245[FY23 ADM - Grade 8])</f>
        <v>47063.022222222222</v>
      </c>
      <c r="X168" s="142">
        <f>SUMIF(FY25_LE_Data245[[Type]:[Type]],$D$168,FY25_LE_Data245[FY23 ADM - Grade 9])</f>
        <v>49251.255555555566</v>
      </c>
      <c r="Y168" s="142">
        <f>SUMIF(FY25_LE_Data245[[Type]:[Type]],$D$168,FY25_LE_Data245[FY23 ADM - Grade 10])</f>
        <v>49776.888888888912</v>
      </c>
      <c r="Z168" s="142">
        <f>SUMIF(FY25_LE_Data245[[Type]:[Type]],$D$168,FY25_LE_Data245[FY23 ADM - Grade 11])</f>
        <v>47131.494444444434</v>
      </c>
      <c r="AA168" s="142">
        <f>SUMIF(FY25_LE_Data245[[Type]:[Type]],$D$168,FY25_LE_Data245[FY23 ADM - Grade 12])</f>
        <v>41250.833333333336</v>
      </c>
      <c r="AB168" s="142">
        <f>SUMIF(FY25_LE_Data245[[Type]:[Type]],$D$168,FY25_LE_Data245[FY23 ADM - Grades 1-6])</f>
        <v>258853.36666666667</v>
      </c>
      <c r="AC168" s="142">
        <f>SUMIF(FY25_LE_Data245[[Type]:[Type]],$D$168,FY25_LE_Data245[FY23 ADM - Grades 7-8])</f>
        <v>92879.888888888905</v>
      </c>
      <c r="AD168" s="142">
        <f>SUMIF(FY25_LE_Data245[[Type]:[Type]],$D$168,FY25_LE_Data245[FY23 ADM - Grades 9-12])</f>
        <v>187410.47222222222</v>
      </c>
      <c r="AE168" s="142">
        <f>SUMIF(FY25_LE_Data245[[Type]:[Type]],$D$168,FY25_LE_Data245[FY23 ADM - Grades K-8])</f>
        <v>390075.51111111103</v>
      </c>
      <c r="AF168" s="142">
        <f>SUMIF(FY25_LE_Data245[[Type]:[Type]],$D$168,FY25_LE_Data245[FY23 ADM - Grades 1-12])</f>
        <v>539143.72777777771</v>
      </c>
      <c r="AG168" s="142">
        <f>SUMIF(FY25_LE_Data245[[Type]:[Type]],$D$168,FY25_LE_Data245[FY23 ADM - Grades K-12])</f>
        <v>577485.9833333334</v>
      </c>
      <c r="AH168" s="142">
        <f>SUMIF(FY25_LE_Data245[[Type]:[Type]],$D$168,FY25_LE_Data245[FY23ADM - SPED Resource])</f>
        <v>62407.15</v>
      </c>
      <c r="AI168" s="142">
        <f>SUMIF(FY25_LE_Data245[[Type]:[Type]],$D$168,FY25_LE_Data245[FY23ADM - SPED Self-Contained])</f>
        <v>10582.627777777778</v>
      </c>
      <c r="AJ168" s="142">
        <f>SUMIF(FY25_LE_Data245[[Type]:[Type]],$D$168,FY25_LE_Data245[FY23ADM - Total SPED])</f>
        <v>72989.777777777781</v>
      </c>
      <c r="AK168" s="142">
        <f>SUMIF(FY25_LE_Data245[[Type]:[Type]],$D$168,FY25_LE_Data245[Oct. 1, 2023 - K])</f>
        <v>37863</v>
      </c>
      <c r="AL168" s="142">
        <f>SUMIF(FY25_LE_Data245[[Type]:[Type]],$D$168,FY25_LE_Data245[Oct. 1, 2023 - Grade 1])</f>
        <v>40723</v>
      </c>
      <c r="AM168" s="142">
        <f>SUMIF(FY25_LE_Data245[[Type]:[Type]],$D$168,FY25_LE_Data245[Oct. 1, 2023 - Grade 2])</f>
        <v>43589</v>
      </c>
      <c r="AN168" s="142">
        <f>SUMIF(FY25_LE_Data245[[Type]:[Type]],$D$168,FY25_LE_Data245[Oct. 1, 2023 - Grade 3])</f>
        <v>43626</v>
      </c>
      <c r="AO168" s="142">
        <f>SUMIF(FY25_LE_Data245[[Type]:[Type]],$D$168,FY25_LE_Data245[Oct. 1, 2023 - Grade 4])</f>
        <v>44196</v>
      </c>
      <c r="AP168" s="142">
        <f>SUMIF(FY25_LE_Data245[[Type]:[Type]],$D$168,FY25_LE_Data245[Oct. 1, 2023 - Grade 5])</f>
        <v>45312</v>
      </c>
      <c r="AQ168" s="142">
        <f>SUMIF(FY25_LE_Data245[[Type]:[Type]],$D$168,FY25_LE_Data245[Oct. 1, 2023 - Grade 6])</f>
        <v>44667</v>
      </c>
      <c r="AR168" s="142">
        <f>SUMIF(FY25_LE_Data245[[Type]:[Type]],$D$168,FY25_LE_Data245[Oct. 1, 2023 - Grade 7])</f>
        <v>46812</v>
      </c>
      <c r="AS168" s="142">
        <f>SUMIF(FY25_LE_Data245[[Type]:[Type]],$D$168,FY25_LE_Data245[Oct. 1, 2023 - Grade 8])</f>
        <v>47467</v>
      </c>
      <c r="AT168" s="142">
        <f>SUMIF(FY25_LE_Data245[[Type]:[Type]],$D$168,FY25_LE_Data245[Oct. 1, 2023 - Grade 9])</f>
        <v>49545</v>
      </c>
      <c r="AU168" s="142">
        <f>SUMIF(FY25_LE_Data245[[Type]:[Type]],$D$168,FY25_LE_Data245[Oct. 1, 2023 - Grade 10])</f>
        <v>51423</v>
      </c>
      <c r="AV168" s="142">
        <f>SUMIF(FY25_LE_Data245[[Type]:[Type]],$D$168,FY25_LE_Data245[Oct. 1, 2023 - Grade 11])</f>
        <v>50526</v>
      </c>
      <c r="AW168" s="142">
        <f>SUMIF(FY25_LE_Data245[[Type]:[Type]],$D$168,FY25_LE_Data245[Oct. 1, 2023 - Grade 12])</f>
        <v>48201</v>
      </c>
      <c r="AX168" s="142">
        <f>SUMIF(FY25_LE_Data245[[Type]:[Type]],$D$168,FY25_LE_Data245[Oct. 1, 2023 - Grades 1-6])</f>
        <v>262113</v>
      </c>
      <c r="AY168" s="142">
        <f>SUMIF(FY25_LE_Data245[[Type]:[Type]],$D$168,FY25_LE_Data245[Oct. 1, 2023 - Grades 7-8])</f>
        <v>94279</v>
      </c>
      <c r="AZ168" s="142">
        <f>SUMIF(FY25_LE_Data245[[Type]:[Type]],$D$168,FY25_LE_Data245[Oct. 1, 2023 - Grades 9-12])</f>
        <v>199695</v>
      </c>
      <c r="BA168" s="142">
        <f>SUMIF(FY25_LE_Data245[[Type]:[Type]],$D$168,FY25_LE_Data245[Oct. 1, 2023 - Grades K-8])</f>
        <v>394255</v>
      </c>
      <c r="BB168" s="142">
        <f>SUMIF(FY25_LE_Data245[[Type]:[Type]],$D$168,FY25_LE_Data245[Oct. 1, 2023 - Grades 1-12])</f>
        <v>556087</v>
      </c>
      <c r="BC168" s="142">
        <f>SUMIF(FY25_LE_Data245[[Type]:[Type]],$D$168,FY25_LE_Data245[Oct. 1, 2023 - Grades K-12])</f>
        <v>593950</v>
      </c>
      <c r="BD168" s="142">
        <f>SUMIF(FY25_LE_Data245[[Type]:[Type]],$D$168,FY25_LE_Data245[Oct. 1, 2023 - FDK Counts])</f>
        <v>29661</v>
      </c>
      <c r="BE168" s="142">
        <f>SUMIF(FY25_LE_Data245[[Type]:[Type]],$D$168,FY25_LE_Data245[Oct. 1, 2023 - HDK Counts])</f>
        <v>8202</v>
      </c>
      <c r="BF168" s="142">
        <f>SUMIF(FY25_LE_Data245[[Type]:[Type]],$D$168,FY25_LE_Data245[Oct. 1, 2023 - Foreign Exchange])</f>
        <v>319</v>
      </c>
      <c r="BG168" s="142">
        <f>SUMIF(FY25_LE_Data245[[Type]:[Type]],$D$168,FY25_LE_Data245[Oct. 1, 2023 - Econ. Disadv.])</f>
        <v>182079</v>
      </c>
      <c r="BH168" s="142">
        <f>SUMIF(FY25_LE_Data245[[Type]:[Type]],$D$168,FY25_LE_Data245[Oct. 1, 2023 - SPED Resource])</f>
        <v>63533</v>
      </c>
      <c r="BI168" s="142">
        <f>SUMIF(FY25_LE_Data245[[Type]:[Type]],$D$168,FY25_LE_Data245[Oct. 1, 2023 - SPED Self-Contained])</f>
        <v>10829</v>
      </c>
      <c r="BJ168" s="142">
        <f>SUMIF(FY25_LE_Data245[[Type]:[Type]],$D$168,FY25_LE_Data245[Oct. 1, 2023 - Total SPED])</f>
        <v>74362</v>
      </c>
      <c r="BK168" s="142">
        <f>SUMIF(FY25_LE_Data245[[Type]:[Type]],$D$168,FY25_LE_Data245[Oct. 1, 2023 - LEP])</f>
        <v>51930</v>
      </c>
      <c r="BL168" s="142">
        <f>SUMIF(FY25_LE_Data245[[Type]:[Type]],$D$168,FY25_LE_Data245[Oct 1, 2024 (CDC) - K])</f>
        <v>39670.957777619209</v>
      </c>
      <c r="BM168" s="142">
        <f>SUMIF(FY25_LE_Data245[[Type]:[Type]],$D$168,FY25_LE_Data245[Oct 1, 2024 (CDC) - Grades 1-12])</f>
        <v>550910.04222238087</v>
      </c>
      <c r="BN168" s="142">
        <f>SUMIF(FY25_LE_Data245[[Type]:[Type]],$D$168,FY25_LE_Data245[Oct 1, 2024 (CDC) - Grades 1-6])</f>
        <v>0</v>
      </c>
      <c r="BO168" s="142">
        <f>SUMIF(FY25_LE_Data245[[Type]:[Type]],$D$168,FY25_LE_Data245[Oct 1, 2024 (CDC) - Grades 7-8])</f>
        <v>0</v>
      </c>
      <c r="BP168" s="142">
        <f>SUMIF(FY25_LE_Data245[[Type]:[Type]],$D$168,FY25_LE_Data245[Oct 1, 2024 (CDC) - Grades 9-12])</f>
        <v>0</v>
      </c>
      <c r="BQ168" s="142">
        <f>SUMIF(FY25_LE_Data245[[Type]:[Type]],$D$168,FY25_LE_Data245[Oct 1, 2024 (CDC) - Grades K-12])</f>
        <v>590581</v>
      </c>
      <c r="BR168" s="142">
        <f>SUMIF(FY25_LE_Data245[[Type]:[Type]],$D$168,FY25_LE_Data245[Prostaff Ratios])</f>
        <v>3.6415312573679484</v>
      </c>
      <c r="BS168" s="142">
        <f>SUMIF(FY25_LE_Data245[[Type]:[Type]],$D$168,FY25_LE_Data245[ESA - All])</f>
        <v>33576.673319999994</v>
      </c>
      <c r="BT168" s="142">
        <f>SUMIF(FY25_LE_Data245[[Type]:[Type]],$D$168,FY25_LE_Data245[ESA - Educators Only])</f>
        <v>31996.94732000001</v>
      </c>
      <c r="BU168" s="142">
        <f>SUMIF(FY25_LE_Data245[[Type]:[Type]],$D$168,FY25_LE_Data245[TSM FTE])</f>
        <v>29709.273480000003</v>
      </c>
      <c r="BV168" s="142">
        <f>SUMIF(FY25_LE_Data245[[Type]:[Type]],$D$168,FY25_LE_Data245[Educ. Prof. Hrs. FTE])</f>
        <v>33123.819380000023</v>
      </c>
      <c r="BW168" s="141">
        <f>SUMIF(FY25_LE_Data245[[Type]:[Type]],$D$168,FY25_LE_Data245[Oct 1 2020 Counts - Online Students &gt;180 Days ])</f>
        <v>7562</v>
      </c>
      <c r="BX168" s="141">
        <f>SUMIF(FY25_LE_Data245[[Type]:[Type]],$D$168,FY25_LE_Data245[Oct 1 2023 Counts - Online Students &gt;180 Days in FY2023/Still Online on Oct 1])</f>
        <v>8703</v>
      </c>
      <c r="BY168" s="142">
        <f>SUMIF(FY25_LE_Data245[[Type]:[Type]],$D$168,FY25_LE_Data245[FY23 ADM - Online Students &gt;180 Days ])</f>
        <v>20292.733325999994</v>
      </c>
    </row>
    <row r="169" spans="1:77">
      <c r="D169" s="129" t="s">
        <v>387</v>
      </c>
      <c r="E169" s="142">
        <f>SUMIF(FY25_LE_Data245[[Type]:[Type]],$D$169,FY25_LE_Data245[FY22ADM - SPED Resource])</f>
        <v>0</v>
      </c>
      <c r="F169" s="142">
        <f>SUMIF(FY25_LE_Data245[[Type]:[Type]],$D$169,FY25_LE_Data245[FY22ADM - SPED Self-Contained])</f>
        <v>182.65</v>
      </c>
      <c r="G169" s="142">
        <f>SUMIF(FY25_LE_Data245[[Type]:[Type]],$D$169,FY25_LE_Data245[Oct 1, 2022 - K])</f>
        <v>30</v>
      </c>
      <c r="H169" s="142">
        <f>SUMIF(FY25_LE_Data245[[Type]:[Type]],$D$169,FY25_LE_Data245[Oct 1, 2022 - Grades 1-6])</f>
        <v>93</v>
      </c>
      <c r="I169" s="142">
        <f>SUMIF(FY25_LE_Data245[[Type]:[Type]],$D$169,FY25_LE_Data245[Oct 1, 2022 - Grades 7-8])</f>
        <v>16</v>
      </c>
      <c r="J169" s="142">
        <f>SUMIF(FY25_LE_Data245[[Type]:[Type]],$D$169,FY25_LE_Data245[Oct 1, 2022 - Grades 9-12])</f>
        <v>47</v>
      </c>
      <c r="K169" s="142">
        <f>SUMIF(FY25_LE_Data245[[Type]:[Type]],$D$169,FY25_LE_Data245[Oct 1, 2022 - Grades K-12])</f>
        <v>186</v>
      </c>
      <c r="L169" s="142">
        <f>SUMIF(FY25_LE_Data245[[Type]:[Type]],$D$169,FY25_LE_Data245[Oct 1, 2022 - Grades 1-12])</f>
        <v>156</v>
      </c>
      <c r="M169" s="142">
        <f>SUMIF(FY25_LE_Data245[[Type]:[Type]],$D$169,FY25_LE_Data245[Oct 1, 2022 - Grades K-8])</f>
        <v>139</v>
      </c>
      <c r="N169" s="142">
        <f>SUMIF(FY25_LE_Data245[[Type]:[Type]],$D$169,FY25_LE_Data245[Oct 1, 2022 - Self-Contained])</f>
        <v>174</v>
      </c>
      <c r="O169" s="142">
        <f>SUMIF(FY25_LE_Data245[[Type]:[Type]],$D$169,FY25_LE_Data245[FY23 ADM - K])</f>
        <v>3.2888888888888888</v>
      </c>
      <c r="P169" s="142">
        <f>SUMIF(FY25_LE_Data245[[Type]:[Type]],$D$169,FY25_LE_Data245[FY23 ADM - Grade 1])</f>
        <v>0.31666666666666665</v>
      </c>
      <c r="Q169" s="142">
        <f>SUMIF(FY25_LE_Data245[[Type]:[Type]],$D$169,FY25_LE_Data245[FY23 ADM - Grade 2])</f>
        <v>1.6277777777777778</v>
      </c>
      <c r="R169" s="142">
        <f>SUMIF(FY25_LE_Data245[[Type]:[Type]],$D$169,FY25_LE_Data245[FY23 ADM - Grade 3])</f>
        <v>5.5555555555555558E-3</v>
      </c>
      <c r="S169" s="142">
        <f>SUMIF(FY25_LE_Data245[[Type]:[Type]],$D$169,FY25_LE_Data245[FY23 ADM - Grade 4])</f>
        <v>0.11666666666666667</v>
      </c>
      <c r="T169" s="142">
        <f>SUMIF(FY25_LE_Data245[[Type]:[Type]],$D$169,FY25_LE_Data245[FY23 ADM - Grade 5])</f>
        <v>2.3222222222222224</v>
      </c>
      <c r="U169" s="142">
        <f>SUMIF(FY25_LE_Data245[[Type]:[Type]],$D$169,FY25_LE_Data245[FY23 ADM - Grade 6])</f>
        <v>1.4166666666666667</v>
      </c>
      <c r="V169" s="142">
        <f>SUMIF(FY25_LE_Data245[[Type]:[Type]],$D$169,FY25_LE_Data245[FY23 ADM - Grade 7])</f>
        <v>1.1111111111111112E-2</v>
      </c>
      <c r="W169" s="142">
        <f>SUMIF(FY25_LE_Data245[[Type]:[Type]],$D$169,FY25_LE_Data245[FY23 ADM - Grade 8])</f>
        <v>0</v>
      </c>
      <c r="X169" s="142">
        <f>SUMIF(FY25_LE_Data245[[Type]:[Type]],$D$169,FY25_LE_Data245[FY23 ADM - Grade 9])</f>
        <v>3.3333333333333333E-2</v>
      </c>
      <c r="Y169" s="142">
        <f>SUMIF(FY25_LE_Data245[[Type]:[Type]],$D$169,FY25_LE_Data245[FY23 ADM - Grade 10])</f>
        <v>2.0444444444444443</v>
      </c>
      <c r="Z169" s="142">
        <f>SUMIF(FY25_LE_Data245[[Type]:[Type]],$D$169,FY25_LE_Data245[FY23 ADM - Grade 11])</f>
        <v>7.7777777777777779E-2</v>
      </c>
      <c r="AA169" s="142">
        <f>SUMIF(FY25_LE_Data245[[Type]:[Type]],$D$169,FY25_LE_Data245[FY23 ADM - Grade 12])</f>
        <v>0</v>
      </c>
      <c r="AB169" s="142">
        <f>SUMIF(FY25_LE_Data245[[Type]:[Type]],$D$169,FY25_LE_Data245[FY23 ADM - Grades 1-6])</f>
        <v>5.8055555555555562</v>
      </c>
      <c r="AC169" s="142">
        <f>SUMIF(FY25_LE_Data245[[Type]:[Type]],$D$169,FY25_LE_Data245[FY23 ADM - Grades 7-8])</f>
        <v>1.1111111111111112E-2</v>
      </c>
      <c r="AD169" s="142">
        <f>SUMIF(FY25_LE_Data245[[Type]:[Type]],$D$169,FY25_LE_Data245[FY23 ADM - Grades 9-12])</f>
        <v>2.1555555555555554</v>
      </c>
      <c r="AE169" s="142">
        <f>SUMIF(FY25_LE_Data245[[Type]:[Type]],$D$169,FY25_LE_Data245[FY23 ADM - Grades K-8])</f>
        <v>9.1055555555555543</v>
      </c>
      <c r="AF169" s="142">
        <f>SUMIF(FY25_LE_Data245[[Type]:[Type]],$D$169,FY25_LE_Data245[FY23 ADM - Grades 1-12])</f>
        <v>7.9722222222222223</v>
      </c>
      <c r="AG169" s="142">
        <f>SUMIF(FY25_LE_Data245[[Type]:[Type]],$D$169,FY25_LE_Data245[FY23 ADM - Grades K-12])</f>
        <v>11.261111111111109</v>
      </c>
      <c r="AH169" s="142">
        <f>SUMIF(FY25_LE_Data245[[Type]:[Type]],$D$169,FY25_LE_Data245[FY23ADM - SPED Resource])</f>
        <v>0</v>
      </c>
      <c r="AI169" s="142">
        <f>SUMIF(FY25_LE_Data245[[Type]:[Type]],$D$169,FY25_LE_Data245[FY23ADM - SPED Self-Contained])</f>
        <v>172.96666666666667</v>
      </c>
      <c r="AJ169" s="142">
        <f>SUMIF(FY25_LE_Data245[[Type]:[Type]],$D$169,FY25_LE_Data245[FY23ADM - Total SPED])</f>
        <v>172.96666666666667</v>
      </c>
      <c r="AK169" s="142">
        <f>SUMIF(FY25_LE_Data245[[Type]:[Type]],$D$169,FY25_LE_Data245[Oct. 1, 2023 - K])</f>
        <v>33</v>
      </c>
      <c r="AL169" s="142">
        <f>SUMIF(FY25_LE_Data245[[Type]:[Type]],$D$169,FY25_LE_Data245[Oct. 1, 2023 - Grade 1])</f>
        <v>27</v>
      </c>
      <c r="AM169" s="142">
        <f>SUMIF(FY25_LE_Data245[[Type]:[Type]],$D$169,FY25_LE_Data245[Oct. 1, 2023 - Grade 2])</f>
        <v>21</v>
      </c>
      <c r="AN169" s="142">
        <f>SUMIF(FY25_LE_Data245[[Type]:[Type]],$D$169,FY25_LE_Data245[Oct. 1, 2023 - Grade 3])</f>
        <v>17</v>
      </c>
      <c r="AO169" s="142">
        <f>SUMIF(FY25_LE_Data245[[Type]:[Type]],$D$169,FY25_LE_Data245[Oct. 1, 2023 - Grade 4])</f>
        <v>13</v>
      </c>
      <c r="AP169" s="142">
        <f>SUMIF(FY25_LE_Data245[[Type]:[Type]],$D$169,FY25_LE_Data245[Oct. 1, 2023 - Grade 5])</f>
        <v>15</v>
      </c>
      <c r="AQ169" s="142">
        <f>SUMIF(FY25_LE_Data245[[Type]:[Type]],$D$169,FY25_LE_Data245[Oct. 1, 2023 - Grade 6])</f>
        <v>14</v>
      </c>
      <c r="AR169" s="142">
        <f>SUMIF(FY25_LE_Data245[[Type]:[Type]],$D$169,FY25_LE_Data245[Oct. 1, 2023 - Grade 7])</f>
        <v>5</v>
      </c>
      <c r="AS169" s="142">
        <f>SUMIF(FY25_LE_Data245[[Type]:[Type]],$D$169,FY25_LE_Data245[Oct. 1, 2023 - Grade 8])</f>
        <v>7</v>
      </c>
      <c r="AT169" s="142">
        <f>SUMIF(FY25_LE_Data245[[Type]:[Type]],$D$169,FY25_LE_Data245[Oct. 1, 2023 - Grade 9])</f>
        <v>9</v>
      </c>
      <c r="AU169" s="142">
        <f>SUMIF(FY25_LE_Data245[[Type]:[Type]],$D$169,FY25_LE_Data245[Oct. 1, 2023 - Grade 10])</f>
        <v>12</v>
      </c>
      <c r="AV169" s="142">
        <f>SUMIF(FY25_LE_Data245[[Type]:[Type]],$D$169,FY25_LE_Data245[Oct. 1, 2023 - Grade 11])</f>
        <v>13</v>
      </c>
      <c r="AW169" s="142">
        <f>SUMIF(FY25_LE_Data245[[Type]:[Type]],$D$169,FY25_LE_Data245[Oct. 1, 2023 - Grade 12])</f>
        <v>10</v>
      </c>
      <c r="AX169" s="142">
        <f>SUMIF(FY25_LE_Data245[[Type]:[Type]],$D$169,FY25_LE_Data245[Oct. 1, 2023 - Grades 1-6])</f>
        <v>107</v>
      </c>
      <c r="AY169" s="142">
        <f>SUMIF(FY25_LE_Data245[[Type]:[Type]],$D$169,FY25_LE_Data245[Oct. 1, 2023 - Grades 7-8])</f>
        <v>12</v>
      </c>
      <c r="AZ169" s="142">
        <f>SUMIF(FY25_LE_Data245[[Type]:[Type]],$D$169,FY25_LE_Data245[Oct. 1, 2023 - Grades 9-12])</f>
        <v>44</v>
      </c>
      <c r="BA169" s="142">
        <f>SUMIF(FY25_LE_Data245[[Type]:[Type]],$D$169,FY25_LE_Data245[Oct. 1, 2023 - Grades K-8])</f>
        <v>152</v>
      </c>
      <c r="BB169" s="142">
        <f>SUMIF(FY25_LE_Data245[[Type]:[Type]],$D$169,FY25_LE_Data245[Oct. 1, 2023 - Grades 1-12])</f>
        <v>163</v>
      </c>
      <c r="BC169" s="142">
        <f>SUMIF(FY25_LE_Data245[[Type]:[Type]],$D$169,FY25_LE_Data245[Oct. 1, 2023 - Grades K-12])</f>
        <v>196</v>
      </c>
      <c r="BD169" s="142">
        <f>SUMIF(FY25_LE_Data245[[Type]:[Type]],$D$169,FY25_LE_Data245[Oct. 1, 2023 - FDK Counts])</f>
        <v>33</v>
      </c>
      <c r="BE169" s="142">
        <f>SUMIF(FY25_LE_Data245[[Type]:[Type]],$D$169,FY25_LE_Data245[Oct. 1, 2023 - HDK Counts])</f>
        <v>0</v>
      </c>
      <c r="BF169" s="142">
        <f>SUMIF(FY25_LE_Data245[[Type]:[Type]],$D$169,FY25_LE_Data245[Oct. 1, 2023 - Foreign Exchange])</f>
        <v>0</v>
      </c>
      <c r="BG169" s="142">
        <f>SUMIF(FY25_LE_Data245[[Type]:[Type]],$D$169,FY25_LE_Data245[Oct. 1, 2023 - Econ. Disadv.])</f>
        <v>68</v>
      </c>
      <c r="BH169" s="142">
        <f>SUMIF(FY25_LE_Data245[[Type]:[Type]],$D$169,FY25_LE_Data245[Oct. 1, 2023 - SPED Resource])</f>
        <v>0</v>
      </c>
      <c r="BI169" s="142">
        <f>SUMIF(FY25_LE_Data245[[Type]:[Type]],$D$169,FY25_LE_Data245[Oct. 1, 2023 - SPED Self-Contained])</f>
        <v>178</v>
      </c>
      <c r="BJ169" s="142">
        <f>SUMIF(FY25_LE_Data245[[Type]:[Type]],$D$169,FY25_LE_Data245[Oct. 1, 2023 - Total SPED])</f>
        <v>178</v>
      </c>
      <c r="BK169" s="142">
        <f>SUMIF(FY25_LE_Data245[[Type]:[Type]],$D$169,FY25_LE_Data245[Oct. 1, 2023 - LEP])</f>
        <v>0</v>
      </c>
      <c r="BL169" s="142">
        <f>SUMIF(FY25_LE_Data245[[Type]:[Type]],$D$169,FY25_LE_Data245[Oct 1, 2024 (CDC) - K])</f>
        <v>0</v>
      </c>
      <c r="BM169" s="142">
        <f>SUMIF(FY25_LE_Data245[[Type]:[Type]],$D$169,FY25_LE_Data245[Oct 1, 2024 (CDC) - Grades 1-12])</f>
        <v>0</v>
      </c>
      <c r="BN169" s="142">
        <f>SUMIF(FY25_LE_Data245[[Type]:[Type]],$D$169,FY25_LE_Data245[Oct 1, 2024 (CDC) - Grades 1-6])</f>
        <v>0</v>
      </c>
      <c r="BO169" s="142">
        <f>SUMIF(FY25_LE_Data245[[Type]:[Type]],$D$169,FY25_LE_Data245[Oct 1, 2024 (CDC) - Grades 7-8])</f>
        <v>0</v>
      </c>
      <c r="BP169" s="142">
        <f>SUMIF(FY25_LE_Data245[[Type]:[Type]],$D$169,FY25_LE_Data245[Oct 1, 2024 (CDC) - Grades 9-12])</f>
        <v>0</v>
      </c>
      <c r="BQ169" s="142">
        <f>SUMIF(FY25_LE_Data245[[Type]:[Type]],$D$169,FY25_LE_Data245[Oct 1, 2024 (CDC) - Grades K-12])</f>
        <v>0</v>
      </c>
      <c r="BR169" s="142">
        <f>SUMIF(FY25_LE_Data245[[Type]:[Type]],$D$169,FY25_LE_Data245[Prostaff Ratios])</f>
        <v>0.10238701364007774</v>
      </c>
      <c r="BS169" s="142">
        <f>SUMIF(FY25_LE_Data245[[Type]:[Type]],$D$169,FY25_LE_Data245[ESA - All])</f>
        <v>191.28900000000004</v>
      </c>
      <c r="BT169" s="142">
        <f>SUMIF(FY25_LE_Data245[[Type]:[Type]],$D$169,FY25_LE_Data245[ESA - Educators Only])</f>
        <v>186.33000000000004</v>
      </c>
      <c r="BU169" s="142">
        <f>SUMIF(FY25_LE_Data245[[Type]:[Type]],$D$169,FY25_LE_Data245[TSM FTE])</f>
        <v>165.62</v>
      </c>
      <c r="BV169" s="142">
        <f>SUMIF(FY25_LE_Data245[[Type]:[Type]],$D$169,FY25_LE_Data245[Educ. Prof. Hrs. FTE])</f>
        <v>194.28900000000002</v>
      </c>
      <c r="BW169" s="141">
        <f>SUMIF(FY25_LE_Data245[[Type]:[Type]],$D$169,FY25_LE_Data245[Oct 1 2020 Counts - Online Students &gt;180 Days ])</f>
        <v>0</v>
      </c>
      <c r="BX169" s="141">
        <f>SUMIF(FY25_LE_Data245[[Type]:[Type]],$D$169,FY25_LE_Data245[Oct 1 2023 Counts - Online Students &gt;180 Days in FY2023/Still Online on Oct 1])</f>
        <v>0</v>
      </c>
      <c r="BY169" s="142">
        <f>SUMIF(FY25_LE_Data245[[Type]:[Type]],$D$169,FY25_LE_Data245[FY23 ADM - Online Students &gt;180 Days ])</f>
        <v>0</v>
      </c>
    </row>
    <row r="170" spans="1:77">
      <c r="D170" s="129" t="s">
        <v>84</v>
      </c>
      <c r="E170" s="143">
        <f t="shared" ref="E170:BQ170" si="0">SUM(E167:E169)</f>
        <v>70443.305555555533</v>
      </c>
      <c r="F170" s="143">
        <f t="shared" si="0"/>
        <v>11523.83333333333</v>
      </c>
      <c r="G170" s="143">
        <f t="shared" si="0"/>
        <v>46694</v>
      </c>
      <c r="H170" s="143">
        <f t="shared" si="0"/>
        <v>307225</v>
      </c>
      <c r="I170" s="143">
        <f t="shared" si="0"/>
        <v>107167</v>
      </c>
      <c r="J170" s="143">
        <f t="shared" si="0"/>
        <v>214760</v>
      </c>
      <c r="K170" s="143">
        <f t="shared" si="0"/>
        <v>675846</v>
      </c>
      <c r="L170" s="143">
        <f t="shared" si="0"/>
        <v>629152</v>
      </c>
      <c r="M170" s="143">
        <f t="shared" si="0"/>
        <v>461086</v>
      </c>
      <c r="N170" s="143">
        <f t="shared" si="0"/>
        <v>11546</v>
      </c>
      <c r="O170" s="143">
        <f t="shared" si="0"/>
        <v>45562.083333333343</v>
      </c>
      <c r="P170" s="143">
        <f t="shared" si="0"/>
        <v>49280.738888888896</v>
      </c>
      <c r="Q170" s="143">
        <f t="shared" si="0"/>
        <v>49305.505555555566</v>
      </c>
      <c r="R170" s="143">
        <f t="shared" si="0"/>
        <v>49947.555555555547</v>
      </c>
      <c r="S170" s="143">
        <f t="shared" si="0"/>
        <v>50906.922222222238</v>
      </c>
      <c r="T170" s="143">
        <f t="shared" si="0"/>
        <v>49875.599999999991</v>
      </c>
      <c r="U170" s="143">
        <f t="shared" si="0"/>
        <v>51171.522222222222</v>
      </c>
      <c r="V170" s="143">
        <f t="shared" si="0"/>
        <v>51711.422222222216</v>
      </c>
      <c r="W170" s="143">
        <f t="shared" si="0"/>
        <v>52771.12777777778</v>
      </c>
      <c r="X170" s="143">
        <f t="shared" si="0"/>
        <v>54150.766666666677</v>
      </c>
      <c r="Y170" s="143">
        <f t="shared" si="0"/>
        <v>53915.550000000025</v>
      </c>
      <c r="Z170" s="143">
        <f t="shared" si="0"/>
        <v>51068.69999999999</v>
      </c>
      <c r="AA170" s="143">
        <f t="shared" si="0"/>
        <v>44624.683333333334</v>
      </c>
      <c r="AB170" s="143">
        <f t="shared" si="0"/>
        <v>300487.84444444446</v>
      </c>
      <c r="AC170" s="143">
        <f t="shared" si="0"/>
        <v>104482.55000000002</v>
      </c>
      <c r="AD170" s="143">
        <f t="shared" si="0"/>
        <v>203759.7</v>
      </c>
      <c r="AE170" s="143">
        <f t="shared" si="0"/>
        <v>450532.47777777771</v>
      </c>
      <c r="AF170" s="143">
        <f t="shared" si="0"/>
        <v>608730.0944444444</v>
      </c>
      <c r="AG170" s="143">
        <f t="shared" si="0"/>
        <v>654292.17777777789</v>
      </c>
      <c r="AH170" s="143">
        <f t="shared" si="0"/>
        <v>73194.161111111112</v>
      </c>
      <c r="AI170" s="143">
        <f t="shared" si="0"/>
        <v>11778.861111111111</v>
      </c>
      <c r="AJ170" s="143">
        <f t="shared" si="0"/>
        <v>84973.022222222222</v>
      </c>
      <c r="AK170" s="143">
        <f t="shared" si="0"/>
        <v>45256</v>
      </c>
      <c r="AL170" s="143">
        <f t="shared" si="0"/>
        <v>48197</v>
      </c>
      <c r="AM170" s="143">
        <f t="shared" si="0"/>
        <v>50926</v>
      </c>
      <c r="AN170" s="143">
        <f t="shared" si="0"/>
        <v>51017</v>
      </c>
      <c r="AO170" s="143">
        <f t="shared" si="0"/>
        <v>51429</v>
      </c>
      <c r="AP170" s="143">
        <f t="shared" si="0"/>
        <v>52597</v>
      </c>
      <c r="AQ170" s="143">
        <f t="shared" si="0"/>
        <v>51476</v>
      </c>
      <c r="AR170" s="143">
        <f t="shared" si="0"/>
        <v>52969</v>
      </c>
      <c r="AS170" s="143">
        <f t="shared" si="0"/>
        <v>53344</v>
      </c>
      <c r="AT170" s="143">
        <f t="shared" si="0"/>
        <v>54553</v>
      </c>
      <c r="AU170" s="143">
        <f t="shared" si="0"/>
        <v>55713</v>
      </c>
      <c r="AV170" s="143">
        <f t="shared" si="0"/>
        <v>54586</v>
      </c>
      <c r="AW170" s="143">
        <f t="shared" si="0"/>
        <v>51906</v>
      </c>
      <c r="AX170" s="143">
        <f t="shared" si="0"/>
        <v>305642</v>
      </c>
      <c r="AY170" s="143">
        <f t="shared" si="0"/>
        <v>106313</v>
      </c>
      <c r="AZ170" s="143">
        <f t="shared" si="0"/>
        <v>216758</v>
      </c>
      <c r="BA170" s="143">
        <f t="shared" si="0"/>
        <v>457211</v>
      </c>
      <c r="BB170" s="143">
        <f t="shared" si="0"/>
        <v>628713</v>
      </c>
      <c r="BC170" s="143">
        <f t="shared" si="0"/>
        <v>673969</v>
      </c>
      <c r="BD170" s="143">
        <f t="shared" si="0"/>
        <v>34911</v>
      </c>
      <c r="BE170" s="143">
        <f t="shared" si="0"/>
        <v>10345</v>
      </c>
      <c r="BF170" s="143">
        <f t="shared" si="0"/>
        <v>353</v>
      </c>
      <c r="BG170" s="143">
        <f t="shared" si="0"/>
        <v>205313</v>
      </c>
      <c r="BH170" s="143">
        <f t="shared" si="0"/>
        <v>74559</v>
      </c>
      <c r="BI170" s="143">
        <f t="shared" si="0"/>
        <v>11980</v>
      </c>
      <c r="BJ170" s="143">
        <f t="shared" si="0"/>
        <v>86539</v>
      </c>
      <c r="BK170" s="143">
        <f t="shared" si="0"/>
        <v>59187</v>
      </c>
      <c r="BL170" s="143">
        <f t="shared" si="0"/>
        <v>47038.957777619209</v>
      </c>
      <c r="BM170" s="143">
        <f t="shared" si="0"/>
        <v>622842.04222238087</v>
      </c>
      <c r="BN170" s="143">
        <f t="shared" si="0"/>
        <v>42783</v>
      </c>
      <c r="BO170" s="143">
        <f t="shared" si="0"/>
        <v>11991</v>
      </c>
      <c r="BP170" s="143">
        <f t="shared" si="0"/>
        <v>17158</v>
      </c>
      <c r="BQ170" s="143">
        <f t="shared" si="0"/>
        <v>669881</v>
      </c>
      <c r="BR170" s="143">
        <f t="shared" ref="BR170:BY170" si="1">SUM(BR167:BR169)</f>
        <v>11.974604401574977</v>
      </c>
      <c r="BS170" s="143">
        <f t="shared" si="1"/>
        <v>38689.897319999989</v>
      </c>
      <c r="BT170" s="143">
        <f t="shared" si="1"/>
        <v>36872.32132000001</v>
      </c>
      <c r="BU170" s="143">
        <f t="shared" si="1"/>
        <v>34418.054980000008</v>
      </c>
      <c r="BV170" s="143">
        <f t="shared" si="1"/>
        <v>38333.27888000002</v>
      </c>
      <c r="BW170" s="141">
        <f t="shared" si="1"/>
        <v>12086</v>
      </c>
      <c r="BX170" s="141">
        <f t="shared" si="1"/>
        <v>11414</v>
      </c>
      <c r="BY170" s="143">
        <f t="shared" si="1"/>
        <v>24125.066656999996</v>
      </c>
    </row>
    <row r="174" spans="1:77">
      <c r="AG174" s="142"/>
      <c r="AI174" s="143"/>
    </row>
  </sheetData>
  <pageMargins left="0.75" right="0.75" top="1" bottom="1" header="0.5" footer="0.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Worksheet</vt:lpstr>
      <vt:lpstr>Summary Sheet</vt:lpstr>
      <vt:lpstr>AFRAPR</vt:lpstr>
      <vt:lpstr>VALTAX24</vt:lpstr>
      <vt:lpstr>Data Table</vt:lpstr>
      <vt:lpstr>Data24</vt:lpstr>
      <vt:lpstr>Districtname</vt:lpstr>
      <vt:lpstr>'Summary Sheet'!Print_Area</vt:lpstr>
      <vt:lpstr>VALTAX24!Print_Area</vt:lpstr>
      <vt:lpstr>Worksheet!Print_Area</vt:lpstr>
      <vt:lpstr>VALTAX24!Print_Area_MI</vt:lpstr>
      <vt:lpstr>'Summary Sheet'!Print_Titles</vt:lpstr>
    </vt:vector>
  </TitlesOfParts>
  <Company>usoe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USOE</dc:creator>
  <cp:lastModifiedBy>Frost, Dale</cp:lastModifiedBy>
  <cp:lastPrinted>2014-02-20T00:20:46Z</cp:lastPrinted>
  <dcterms:created xsi:type="dcterms:W3CDTF">1999-08-11T15:10:05Z</dcterms:created>
  <dcterms:modified xsi:type="dcterms:W3CDTF">2024-04-11T20:28:51Z</dcterms:modified>
</cp:coreProperties>
</file>